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okolovaNV\Desktop\Демонтаж_Генерация тепла\Документы по конкурентной процедуре\"/>
    </mc:Choice>
  </mc:AlternateContent>
  <xr:revisionPtr revIDLastSave="0" documentId="13_ncr:1_{2B662FA5-7CFF-494C-85FC-5E4D62154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нежная" sheetId="1" r:id="rId1"/>
    <sheet name="Новикова-Прибоя" sheetId="2" r:id="rId2"/>
    <sheet name="Львовская" sheetId="4" r:id="rId3"/>
    <sheet name="Ленина" sheetId="5" r:id="rId4"/>
    <sheet name="40 б" sheetId="6" r:id="rId5"/>
    <sheet name="Геройская" sheetId="7" r:id="rId6"/>
    <sheet name="комарова" sheetId="8" r:id="rId7"/>
  </sheets>
  <definedNames>
    <definedName name="_xlnm._FilterDatabase" localSheetId="4" hidden="1">'40 б'!$A$3:$G$22</definedName>
    <definedName name="_xlnm._FilterDatabase" localSheetId="5" hidden="1">Геройская!$A$3:$G$91</definedName>
    <definedName name="_xlnm._FilterDatabase" localSheetId="6" hidden="1">комарова!$A$3:$G$130</definedName>
    <definedName name="_xlnm._FilterDatabase" localSheetId="3" hidden="1">Ленина!$A$3:$G$129</definedName>
    <definedName name="_xlnm._FilterDatabase" localSheetId="2" hidden="1">Львовская!$A$3:$G$153</definedName>
    <definedName name="_xlnm.Print_Area" localSheetId="4">'40 б'!$A$1:$G$65</definedName>
    <definedName name="_xlnm.Print_Area" localSheetId="5">Геройская!$A$1:$G$91</definedName>
    <definedName name="_xlnm.Print_Area" localSheetId="6">комарова!$A$1:$G$61</definedName>
    <definedName name="_xlnm.Print_Area" localSheetId="3">Ленина!$A$1:$G$60</definedName>
    <definedName name="_xlnm.Print_Area" localSheetId="2">Львовская!$A$1:$G$154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8" l="1"/>
  <c r="G61" i="8" s="1"/>
  <c r="E60" i="8"/>
  <c r="G60" i="8" s="1"/>
  <c r="E59" i="8"/>
  <c r="G59" i="8" s="1"/>
  <c r="E58" i="8"/>
  <c r="G58" i="8" s="1"/>
  <c r="E57" i="8"/>
  <c r="G57" i="8" s="1"/>
  <c r="E56" i="8"/>
  <c r="G56" i="8" s="1"/>
  <c r="E55" i="8"/>
  <c r="G55" i="8" s="1"/>
  <c r="E54" i="8"/>
  <c r="G54" i="8" s="1"/>
  <c r="G53" i="8"/>
  <c r="E52" i="8"/>
  <c r="G52" i="8" s="1"/>
  <c r="G51" i="8"/>
  <c r="E50" i="8"/>
  <c r="G50" i="8" s="1"/>
  <c r="G49" i="8"/>
  <c r="G48" i="8"/>
  <c r="E47" i="8"/>
  <c r="G47" i="8" s="1"/>
  <c r="E46" i="8"/>
  <c r="G46" i="8" s="1"/>
  <c r="E45" i="8"/>
  <c r="G45" i="8" s="1"/>
  <c r="G44" i="8"/>
  <c r="E43" i="8"/>
  <c r="G43" i="8" s="1"/>
  <c r="G41" i="8"/>
  <c r="G40" i="8"/>
  <c r="G39" i="8"/>
  <c r="G38" i="8"/>
  <c r="G37" i="8"/>
  <c r="G36" i="8"/>
  <c r="G35" i="8"/>
  <c r="E34" i="8"/>
  <c r="G34" i="8" s="1"/>
  <c r="E33" i="8"/>
  <c r="G33" i="8" s="1"/>
  <c r="E32" i="8"/>
  <c r="G32" i="8" s="1"/>
  <c r="E31" i="8"/>
  <c r="G31" i="8" s="1"/>
  <c r="E30" i="8"/>
  <c r="G30" i="8" s="1"/>
  <c r="E29" i="8"/>
  <c r="G29" i="8" s="1"/>
  <c r="G28" i="8"/>
  <c r="G25" i="8"/>
  <c r="G24" i="8"/>
  <c r="G23" i="8"/>
  <c r="G22" i="8"/>
  <c r="G21" i="8"/>
  <c r="F20" i="8"/>
  <c r="G20" i="8" s="1"/>
  <c r="G19" i="8"/>
  <c r="G18" i="8"/>
  <c r="G17" i="8"/>
  <c r="G16" i="8"/>
  <c r="G15" i="8"/>
  <c r="G14" i="8"/>
  <c r="G13" i="8"/>
  <c r="G12" i="8"/>
  <c r="G11" i="8"/>
  <c r="G10" i="8"/>
  <c r="F9" i="8"/>
  <c r="G9" i="8" s="1"/>
  <c r="F8" i="8"/>
  <c r="G8" i="8" s="1"/>
  <c r="F7" i="8"/>
  <c r="G7" i="8" s="1"/>
  <c r="F6" i="8"/>
  <c r="G6" i="8" s="1"/>
  <c r="F5" i="8"/>
  <c r="G5" i="8" s="1"/>
  <c r="G91" i="7"/>
  <c r="G90" i="7"/>
  <c r="G89" i="7"/>
  <c r="G88" i="7"/>
  <c r="G87" i="7"/>
  <c r="E86" i="7"/>
  <c r="G86" i="7" s="1"/>
  <c r="G84" i="7"/>
  <c r="G83" i="7"/>
  <c r="E83" i="7"/>
  <c r="G82" i="7"/>
  <c r="E81" i="7"/>
  <c r="G81" i="7" s="1"/>
  <c r="G80" i="7"/>
  <c r="E80" i="7"/>
  <c r="G79" i="7"/>
  <c r="E78" i="7"/>
  <c r="G78" i="7" s="1"/>
  <c r="G77" i="7"/>
  <c r="E77" i="7"/>
  <c r="G76" i="7"/>
  <c r="E75" i="7"/>
  <c r="G75" i="7" s="1"/>
  <c r="G74" i="7"/>
  <c r="E73" i="7"/>
  <c r="G73" i="7" s="1"/>
  <c r="G72" i="7"/>
  <c r="E71" i="7"/>
  <c r="G71" i="7" s="1"/>
  <c r="G70" i="7"/>
  <c r="G69" i="7"/>
  <c r="G68" i="7"/>
  <c r="G67" i="7"/>
  <c r="E66" i="7"/>
  <c r="G66" i="7" s="1"/>
  <c r="E65" i="7"/>
  <c r="G65" i="7" s="1"/>
  <c r="G64" i="7"/>
  <c r="E64" i="7"/>
  <c r="G63" i="7"/>
  <c r="E62" i="7"/>
  <c r="G62" i="7" s="1"/>
  <c r="G61" i="7"/>
  <c r="E61" i="7"/>
  <c r="G60" i="7"/>
  <c r="G59" i="7"/>
  <c r="G58" i="7"/>
  <c r="G57" i="7"/>
  <c r="G56" i="7"/>
  <c r="G55" i="7"/>
  <c r="G54" i="7"/>
  <c r="G53" i="7"/>
  <c r="E52" i="7"/>
  <c r="G52" i="7" s="1"/>
  <c r="E51" i="7"/>
  <c r="G51" i="7" s="1"/>
  <c r="E50" i="7"/>
  <c r="G50" i="7" s="1"/>
  <c r="E49" i="7"/>
  <c r="G49" i="7" s="1"/>
  <c r="G48" i="7"/>
  <c r="E47" i="7"/>
  <c r="G47" i="7" s="1"/>
  <c r="E46" i="7"/>
  <c r="G46" i="7" s="1"/>
  <c r="E45" i="7"/>
  <c r="G45" i="7" s="1"/>
  <c r="E44" i="7"/>
  <c r="G44" i="7" s="1"/>
  <c r="G43" i="7"/>
  <c r="G42" i="7"/>
  <c r="G41" i="7"/>
  <c r="G40" i="7"/>
  <c r="G39" i="7"/>
  <c r="G38" i="7"/>
  <c r="G37" i="7"/>
  <c r="G36" i="7"/>
  <c r="G35" i="7"/>
  <c r="G34" i="7"/>
  <c r="E32" i="7"/>
  <c r="G32" i="7" s="1"/>
  <c r="G31" i="7"/>
  <c r="E30" i="7"/>
  <c r="G30" i="7" s="1"/>
  <c r="G29" i="7"/>
  <c r="E28" i="7"/>
  <c r="G28" i="7" s="1"/>
  <c r="G27" i="7"/>
  <c r="G26" i="7"/>
  <c r="G25" i="7"/>
  <c r="G24" i="7"/>
  <c r="G23" i="7"/>
  <c r="G22" i="7"/>
  <c r="G21" i="7"/>
  <c r="E20" i="7"/>
  <c r="G20" i="7" s="1"/>
  <c r="E19" i="7"/>
  <c r="G19" i="7" s="1"/>
  <c r="E18" i="7"/>
  <c r="G18" i="7" s="1"/>
  <c r="E17" i="7"/>
  <c r="G17" i="7" s="1"/>
  <c r="G16" i="7"/>
  <c r="G13" i="7"/>
  <c r="G12" i="7"/>
  <c r="G11" i="7"/>
  <c r="G10" i="7"/>
  <c r="G9" i="7"/>
  <c r="G8" i="7"/>
  <c r="A7" i="7"/>
  <c r="A8" i="7" s="1"/>
  <c r="A9" i="7" s="1"/>
  <c r="A10" i="7" s="1"/>
  <c r="A11" i="7" s="1"/>
  <c r="A12" i="7" s="1"/>
  <c r="A13" i="7" s="1"/>
  <c r="G65" i="6"/>
  <c r="E64" i="6"/>
  <c r="G64" i="6" s="1"/>
  <c r="G63" i="6"/>
  <c r="G62" i="6"/>
  <c r="E61" i="6"/>
  <c r="G61" i="6" s="1"/>
  <c r="G60" i="6"/>
  <c r="E59" i="6"/>
  <c r="G59" i="6" s="1"/>
  <c r="G58" i="6"/>
  <c r="E57" i="6"/>
  <c r="G57" i="6" s="1"/>
  <c r="E56" i="6"/>
  <c r="G56" i="6" s="1"/>
  <c r="G55" i="6"/>
  <c r="G54" i="6"/>
  <c r="E53" i="6"/>
  <c r="G53" i="6" s="1"/>
  <c r="G52" i="6"/>
  <c r="E51" i="6"/>
  <c r="G51" i="6" s="1"/>
  <c r="E50" i="6"/>
  <c r="G50" i="6" s="1"/>
  <c r="G49" i="6"/>
  <c r="E48" i="6"/>
  <c r="G48" i="6" s="1"/>
  <c r="E47" i="6"/>
  <c r="G47" i="6" s="1"/>
  <c r="E46" i="6"/>
  <c r="G46" i="6" s="1"/>
  <c r="E45" i="6"/>
  <c r="G45" i="6" s="1"/>
  <c r="E44" i="6"/>
  <c r="G44" i="6" s="1"/>
  <c r="G42" i="6"/>
  <c r="G41" i="6"/>
  <c r="G40" i="6"/>
  <c r="G39" i="6"/>
  <c r="G38" i="6"/>
  <c r="G37" i="6"/>
  <c r="G36" i="6"/>
  <c r="G35" i="6"/>
  <c r="G34" i="6"/>
  <c r="G33" i="6"/>
  <c r="G32" i="6"/>
  <c r="G31" i="6"/>
  <c r="E30" i="6"/>
  <c r="G30" i="6" s="1"/>
  <c r="G29" i="6"/>
  <c r="E28" i="6"/>
  <c r="G28" i="6" s="1"/>
  <c r="E27" i="6"/>
  <c r="G27" i="6" s="1"/>
  <c r="G26" i="6"/>
  <c r="E25" i="6"/>
  <c r="G25" i="6" s="1"/>
  <c r="E24" i="6"/>
  <c r="G24" i="6" s="1"/>
  <c r="G15" i="6"/>
  <c r="G13" i="6"/>
  <c r="G7" i="6"/>
  <c r="G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G5" i="6"/>
  <c r="G22" i="6" s="1"/>
  <c r="E60" i="5"/>
  <c r="G60" i="5" s="1"/>
  <c r="G59" i="5"/>
  <c r="E58" i="5"/>
  <c r="G58" i="5" s="1"/>
  <c r="G57" i="5"/>
  <c r="G56" i="5"/>
  <c r="G55" i="5"/>
  <c r="G54" i="5"/>
  <c r="G53" i="5"/>
  <c r="G52" i="5"/>
  <c r="G51" i="5"/>
  <c r="G50" i="5"/>
  <c r="G49" i="5"/>
  <c r="E48" i="5"/>
  <c r="G48" i="5" s="1"/>
  <c r="G47" i="5"/>
  <c r="G46" i="5"/>
  <c r="E45" i="5"/>
  <c r="G45" i="5" s="1"/>
  <c r="G44" i="5"/>
  <c r="E43" i="5"/>
  <c r="G43" i="5" s="1"/>
  <c r="E42" i="5"/>
  <c r="G42" i="5" s="1"/>
  <c r="G41" i="5"/>
  <c r="E40" i="5"/>
  <c r="G40" i="5" s="1"/>
  <c r="E39" i="5"/>
  <c r="G39" i="5" s="1"/>
  <c r="E38" i="5"/>
  <c r="G38" i="5" s="1"/>
  <c r="E36" i="5"/>
  <c r="G36" i="5" s="1"/>
  <c r="G35" i="5"/>
  <c r="G34" i="5"/>
  <c r="G33" i="5"/>
  <c r="E33" i="5"/>
  <c r="E32" i="5"/>
  <c r="G32" i="5" s="1"/>
  <c r="E31" i="5"/>
  <c r="G31" i="5" s="1"/>
  <c r="G30" i="5"/>
  <c r="G29" i="5"/>
  <c r="G28" i="5"/>
  <c r="G27" i="5"/>
  <c r="G26" i="5"/>
  <c r="G25" i="5"/>
  <c r="G24" i="5"/>
  <c r="G23" i="5"/>
  <c r="E22" i="5"/>
  <c r="G22" i="5" s="1"/>
  <c r="E21" i="5"/>
  <c r="G21" i="5" s="1"/>
  <c r="E20" i="5"/>
  <c r="G20" i="5" s="1"/>
  <c r="E19" i="5"/>
  <c r="G19" i="5" s="1"/>
  <c r="E18" i="5"/>
  <c r="G18" i="5" s="1"/>
  <c r="G12" i="5"/>
  <c r="G11" i="5"/>
  <c r="G8" i="5"/>
  <c r="G7" i="5"/>
  <c r="G6" i="5"/>
  <c r="A6" i="5"/>
  <c r="A7" i="5" s="1"/>
  <c r="A8" i="5" s="1"/>
  <c r="A9" i="5" s="1"/>
  <c r="A10" i="5" s="1"/>
  <c r="A11" i="5" s="1"/>
  <c r="A12" i="5" s="1"/>
  <c r="A13" i="5" s="1"/>
  <c r="A14" i="5" s="1"/>
  <c r="A15" i="5" s="1"/>
  <c r="G5" i="5"/>
  <c r="G72" i="4"/>
  <c r="G71" i="4"/>
  <c r="E70" i="4"/>
  <c r="G70" i="4" s="1"/>
  <c r="G69" i="4"/>
  <c r="E69" i="4"/>
  <c r="E68" i="4"/>
  <c r="G68" i="4" s="1"/>
  <c r="G67" i="4"/>
  <c r="G66" i="4"/>
  <c r="E66" i="4"/>
  <c r="G65" i="4"/>
  <c r="G64" i="4"/>
  <c r="G63" i="4"/>
  <c r="E62" i="4"/>
  <c r="G62" i="4" s="1"/>
  <c r="E61" i="4"/>
  <c r="G61" i="4" s="1"/>
  <c r="E60" i="4"/>
  <c r="G60" i="4" s="1"/>
  <c r="E59" i="4"/>
  <c r="G59" i="4" s="1"/>
  <c r="E57" i="4"/>
  <c r="G57" i="4" s="1"/>
  <c r="E56" i="4"/>
  <c r="G56" i="4" s="1"/>
  <c r="E55" i="4"/>
  <c r="G55" i="4" s="1"/>
  <c r="E54" i="4"/>
  <c r="G54" i="4" s="1"/>
  <c r="E53" i="4"/>
  <c r="G53" i="4" s="1"/>
  <c r="G52" i="4"/>
  <c r="E51" i="4"/>
  <c r="G51" i="4" s="1"/>
  <c r="E50" i="4"/>
  <c r="G50" i="4" s="1"/>
  <c r="E49" i="4"/>
  <c r="G49" i="4" s="1"/>
  <c r="E48" i="4"/>
  <c r="G48" i="4" s="1"/>
  <c r="E47" i="4"/>
  <c r="G47" i="4" s="1"/>
  <c r="G46" i="4"/>
  <c r="E45" i="4"/>
  <c r="G45" i="4" s="1"/>
  <c r="E44" i="4"/>
  <c r="G44" i="4" s="1"/>
  <c r="E43" i="4"/>
  <c r="G43" i="4" s="1"/>
  <c r="E42" i="4"/>
  <c r="G42" i="4" s="1"/>
  <c r="G40" i="4"/>
  <c r="G39" i="4"/>
  <c r="E38" i="4"/>
  <c r="G38" i="4" s="1"/>
  <c r="G37" i="4"/>
  <c r="G36" i="4"/>
  <c r="E36" i="4"/>
  <c r="E35" i="4"/>
  <c r="G35" i="4" s="1"/>
  <c r="G34" i="4"/>
  <c r="G33" i="4"/>
  <c r="G32" i="4"/>
  <c r="G31" i="4"/>
  <c r="G30" i="4"/>
  <c r="G29" i="4"/>
  <c r="G28" i="4"/>
  <c r="G27" i="4"/>
  <c r="G26" i="4"/>
  <c r="E25" i="4"/>
  <c r="G25" i="4" s="1"/>
  <c r="G24" i="4"/>
  <c r="E23" i="4"/>
  <c r="G23" i="4" s="1"/>
  <c r="E22" i="4"/>
  <c r="G22" i="4" s="1"/>
  <c r="E21" i="4"/>
  <c r="G21" i="4" s="1"/>
  <c r="E20" i="4"/>
  <c r="G20" i="4" s="1"/>
  <c r="E19" i="4"/>
  <c r="G19" i="4" s="1"/>
  <c r="G14" i="4"/>
  <c r="G8" i="4"/>
  <c r="G7" i="4"/>
  <c r="G6" i="4"/>
  <c r="G28" i="2"/>
  <c r="E27" i="2"/>
  <c r="G27" i="2" s="1"/>
  <c r="G26" i="2"/>
  <c r="E25" i="2"/>
  <c r="G25" i="2" s="1"/>
  <c r="G24" i="2"/>
  <c r="G23" i="2"/>
  <c r="E22" i="2"/>
  <c r="G22" i="2" s="1"/>
  <c r="E21" i="2"/>
  <c r="G21" i="2" s="1"/>
  <c r="E20" i="2"/>
  <c r="G20" i="2" s="1"/>
  <c r="G19" i="2"/>
  <c r="G17" i="2"/>
  <c r="G16" i="2"/>
  <c r="G15" i="2"/>
  <c r="G14" i="2"/>
  <c r="G13" i="2"/>
  <c r="G12" i="2"/>
  <c r="E11" i="2"/>
  <c r="G11" i="2" s="1"/>
  <c r="E10" i="2"/>
  <c r="G10" i="2" s="1"/>
  <c r="E9" i="2"/>
  <c r="G9" i="2" s="1"/>
  <c r="G6" i="2"/>
  <c r="G7" i="2" s="1"/>
  <c r="F6" i="2"/>
  <c r="G44" i="1"/>
  <c r="E43" i="1"/>
  <c r="G43" i="1" s="1"/>
  <c r="E42" i="1"/>
  <c r="G42" i="1" s="1"/>
  <c r="E41" i="1"/>
  <c r="G41" i="1" s="1"/>
  <c r="G40" i="1"/>
  <c r="E39" i="1"/>
  <c r="G39" i="1" s="1"/>
  <c r="E38" i="1"/>
  <c r="G38" i="1" s="1"/>
  <c r="G37" i="1"/>
  <c r="E36" i="1"/>
  <c r="G36" i="1" s="1"/>
  <c r="E35" i="1"/>
  <c r="G35" i="1" s="1"/>
  <c r="G34" i="1"/>
  <c r="G33" i="1"/>
  <c r="G32" i="1"/>
  <c r="E31" i="1"/>
  <c r="G31" i="1" s="1"/>
  <c r="E30" i="1"/>
  <c r="G30" i="1" s="1"/>
  <c r="G29" i="1"/>
  <c r="G28" i="1"/>
  <c r="G27" i="1"/>
  <c r="G26" i="1"/>
  <c r="G25" i="1"/>
  <c r="G24" i="1"/>
  <c r="G23" i="1"/>
  <c r="G22" i="1"/>
  <c r="E21" i="1"/>
  <c r="G21" i="1" s="1"/>
  <c r="G20" i="1"/>
  <c r="E19" i="1"/>
  <c r="G19" i="1" s="1"/>
  <c r="E18" i="1"/>
  <c r="G18" i="1" s="1"/>
  <c r="E17" i="1"/>
  <c r="G17" i="1" s="1"/>
  <c r="E16" i="1"/>
  <c r="G16" i="1" s="1"/>
  <c r="E15" i="1"/>
  <c r="G15" i="1" s="1"/>
  <c r="G8" i="1"/>
  <c r="G6" i="1"/>
  <c r="G13" i="1" s="1"/>
  <c r="G26" i="8" l="1"/>
  <c r="G17" i="4"/>
  <c r="G16" i="5"/>
  <c r="G14" i="7"/>
</calcChain>
</file>

<file path=xl/sharedStrings.xml><?xml version="1.0" encoding="utf-8"?>
<sst xmlns="http://schemas.openxmlformats.org/spreadsheetml/2006/main" count="614" uniqueCount="288">
  <si>
    <t>№</t>
  </si>
  <si>
    <t>Наименование объекта</t>
  </si>
  <si>
    <t>Наименование основного средства с техническими характеристиками</t>
  </si>
  <si>
    <t>Кол-во</t>
  </si>
  <si>
    <t>Масса 1 ед.</t>
  </si>
  <si>
    <t>Масса, кг</t>
  </si>
  <si>
    <t xml:space="preserve">Насос </t>
  </si>
  <si>
    <t>6К-8</t>
  </si>
  <si>
    <t>8К-18</t>
  </si>
  <si>
    <t>Котел</t>
  </si>
  <si>
    <t>НР-18</t>
  </si>
  <si>
    <t xml:space="preserve">Котел </t>
  </si>
  <si>
    <t>КВГС</t>
  </si>
  <si>
    <t>ЭНЕРГИЯ-3</t>
  </si>
  <si>
    <t>КВТС</t>
  </si>
  <si>
    <t xml:space="preserve">Автоматика </t>
  </si>
  <si>
    <t>АМКО-20</t>
  </si>
  <si>
    <t>Труба</t>
  </si>
  <si>
    <t>Дымовая кирп.600мм Авп=25м</t>
  </si>
  <si>
    <t>Итого</t>
  </si>
  <si>
    <t>газовое хозяйство</t>
  </si>
  <si>
    <t>трубопровод d-57</t>
  </si>
  <si>
    <t>трубопровод d-89</t>
  </si>
  <si>
    <t>трубопровод d-109</t>
  </si>
  <si>
    <t>трубопровод d-159</t>
  </si>
  <si>
    <t>задвижка d-50</t>
  </si>
  <si>
    <t>задвижка d-80</t>
  </si>
  <si>
    <t>задвижка d-100</t>
  </si>
  <si>
    <t>задвижка d-150</t>
  </si>
  <si>
    <t>кран d-80</t>
  </si>
  <si>
    <t>фильтр газа ФГ16-80</t>
  </si>
  <si>
    <t>счетчик газа СГ100</t>
  </si>
  <si>
    <t>RVG 100</t>
  </si>
  <si>
    <t>Клапан предохранительный запорный</t>
  </si>
  <si>
    <t>ПКН 100</t>
  </si>
  <si>
    <t>Регулятор давления 100</t>
  </si>
  <si>
    <t>рдук 100</t>
  </si>
  <si>
    <t>Фильтр газа ФГ100</t>
  </si>
  <si>
    <t>бачок</t>
  </si>
  <si>
    <t>уголок 75</t>
  </si>
  <si>
    <t>0,5*4</t>
  </si>
  <si>
    <t>лист 5мм</t>
  </si>
  <si>
    <t>0,3*0,4</t>
  </si>
  <si>
    <t>грязевик (труба d-219)</t>
  </si>
  <si>
    <t>гидрозатвор (труба d-219)</t>
  </si>
  <si>
    <t>Тепло</t>
  </si>
  <si>
    <t>трубопровод d-125</t>
  </si>
  <si>
    <t>трубопровод d-219</t>
  </si>
  <si>
    <t>кран d-50</t>
  </si>
  <si>
    <t>кран d-100</t>
  </si>
  <si>
    <t>кран d-125</t>
  </si>
  <si>
    <t>кран d-150</t>
  </si>
  <si>
    <t>обратный клапан d-100</t>
  </si>
  <si>
    <t>Котельная ул. Снежная, 100</t>
  </si>
  <si>
    <t>МГ-2Т</t>
  </si>
  <si>
    <t>Дымовая труба</t>
  </si>
  <si>
    <t>d-630мм H-17,05м (2,5-8,1мм)</t>
  </si>
  <si>
    <t>Клапан-отсекатель предохранительный 40</t>
  </si>
  <si>
    <t>ПКК-40М</t>
  </si>
  <si>
    <t>Регулятор давления 50</t>
  </si>
  <si>
    <t>РД-50М</t>
  </si>
  <si>
    <t>Предохранительно-запорный клапан 100</t>
  </si>
  <si>
    <t>ПЗК 100</t>
  </si>
  <si>
    <t>гребенка (труба d-219)</t>
  </si>
  <si>
    <t>предохранительный клапан 50</t>
  </si>
  <si>
    <t>взрывной клапан 0,38*0,44*1,9 (листы 3мм)</t>
  </si>
  <si>
    <t>обратный клапан d-50</t>
  </si>
  <si>
    <t>Котельная ул. Новикова-Прибоя, 35-а</t>
  </si>
  <si>
    <t>Перечень имущества, подлежащего демонтажу</t>
  </si>
  <si>
    <t>Стоимость 1 кг черного металлолома на 02.03.2022г., рублей:</t>
  </si>
  <si>
    <t xml:space="preserve">Сигнализатор газа </t>
  </si>
  <si>
    <t>RGM</t>
  </si>
  <si>
    <t xml:space="preserve">Котел водогр.стальн. </t>
  </si>
  <si>
    <t>НР-18 (6,0кгс/см2)</t>
  </si>
  <si>
    <t>К 20/30</t>
  </si>
  <si>
    <t xml:space="preserve">Водоподогреватель </t>
  </si>
  <si>
    <t>объем 0,197м3</t>
  </si>
  <si>
    <t>К80-50-200 (Q-50м3/ч)</t>
  </si>
  <si>
    <t xml:space="preserve">Фильтр натрикатионитовый </t>
  </si>
  <si>
    <t>ф700мм</t>
  </si>
  <si>
    <t>К160/30(Q-160м3/ч)</t>
  </si>
  <si>
    <t>К8-18</t>
  </si>
  <si>
    <t xml:space="preserve">Итого </t>
  </si>
  <si>
    <t>трубопровод d-45</t>
  </si>
  <si>
    <t>счетчик газа 50</t>
  </si>
  <si>
    <t>Ирвис РС4 d-50</t>
  </si>
  <si>
    <t>Клапан предохранительный запорный 50</t>
  </si>
  <si>
    <t>ПКН 50</t>
  </si>
  <si>
    <t>рдук 50</t>
  </si>
  <si>
    <t>СГ бачок</t>
  </si>
  <si>
    <t>0,5*0,3*0,45 (3мм)</t>
  </si>
  <si>
    <t>уголок 50</t>
  </si>
  <si>
    <t>0,9*4+0,35*4</t>
  </si>
  <si>
    <t>Предохранительно-сбросной клапан</t>
  </si>
  <si>
    <t>ПСК-50</t>
  </si>
  <si>
    <t>грязевик 100</t>
  </si>
  <si>
    <t>ФГ-10-16 (0,35*0,5)</t>
  </si>
  <si>
    <t>горелки</t>
  </si>
  <si>
    <t>ИГК-60</t>
  </si>
  <si>
    <t>трубопровод d-273</t>
  </si>
  <si>
    <t>предохранительный клапан d-50</t>
  </si>
  <si>
    <t>бак подпиточной воды 3м3</t>
  </si>
  <si>
    <t>1,5*1,1*2</t>
  </si>
  <si>
    <t>взрывной клапан 2мм</t>
  </si>
  <si>
    <t>0,6*0,6*1,3*3+0,5*0,85*0,55*1</t>
  </si>
  <si>
    <t>вентиль 50</t>
  </si>
  <si>
    <t>солерастворитель 3мм</t>
  </si>
  <si>
    <t>d-550, h-1,4м</t>
  </si>
  <si>
    <t>дверь 3мм</t>
  </si>
  <si>
    <t>0,9*2</t>
  </si>
  <si>
    <t>насосная</t>
  </si>
  <si>
    <t>задвижка d-150 с электроприводом</t>
  </si>
  <si>
    <t>обратный клапан d-150</t>
  </si>
  <si>
    <t>грязевик 150</t>
  </si>
  <si>
    <t>дефлектор 300</t>
  </si>
  <si>
    <t>Заместитель технического директора ООО "Генерация тепла"</t>
  </si>
  <si>
    <t>Начальник отдела правового обеспечения вопросов собственности</t>
  </si>
  <si>
    <t>ООО "Учетно-сервисный центр ЕвроСибЭнерго" Нижегородский филиал</t>
  </si>
  <si>
    <t>"Энергия-3" П98м2,32секц</t>
  </si>
  <si>
    <t>К150-125-315а 22 квт</t>
  </si>
  <si>
    <t>К160с эл двиг</t>
  </si>
  <si>
    <t xml:space="preserve">Сигнализатор </t>
  </si>
  <si>
    <t>СН4(Д=30*25*11)</t>
  </si>
  <si>
    <t>Дымовая Н-28м Ду1350</t>
  </si>
  <si>
    <t>трубопровод d-28</t>
  </si>
  <si>
    <t>трубопровод d-36</t>
  </si>
  <si>
    <t>фильтр газа ФГ16-100</t>
  </si>
  <si>
    <t xml:space="preserve">бачок 3мм </t>
  </si>
  <si>
    <t>05*04*0,3*2шт</t>
  </si>
  <si>
    <t>0,7*8</t>
  </si>
  <si>
    <t>лист 8мм</t>
  </si>
  <si>
    <t>0,5*0,4</t>
  </si>
  <si>
    <t>швеллер 10</t>
  </si>
  <si>
    <t>трубопровод d-325</t>
  </si>
  <si>
    <t>переход 150*200</t>
  </si>
  <si>
    <t>переход 150*250</t>
  </si>
  <si>
    <t>переход 200-250</t>
  </si>
  <si>
    <t>затвор 50</t>
  </si>
  <si>
    <t>взрывной клапан 4мм</t>
  </si>
  <si>
    <t>0,5*0,5*1,8*5шт</t>
  </si>
  <si>
    <t>вентилятор 800мм+эл.дв.</t>
  </si>
  <si>
    <t>Котел паровой</t>
  </si>
  <si>
    <t>Энергия 3</t>
  </si>
  <si>
    <t>Котел водогрейный</t>
  </si>
  <si>
    <t>K 90/55A 9 (Q=90м3/ч )</t>
  </si>
  <si>
    <t>Насос 6К-8</t>
  </si>
  <si>
    <t>Насос</t>
  </si>
  <si>
    <t>К90/55</t>
  </si>
  <si>
    <t>ВК 1/16А</t>
  </si>
  <si>
    <t>Гном ОНЦ -12/20</t>
  </si>
  <si>
    <t>Энергия-3 с авт. БУСАП.</t>
  </si>
  <si>
    <t>Солерастворитель</t>
  </si>
  <si>
    <t>Фильтр</t>
  </si>
  <si>
    <t>натрикатион.700мм</t>
  </si>
  <si>
    <t>К20/30</t>
  </si>
  <si>
    <t>Водомерный узел</t>
  </si>
  <si>
    <t>задвижка d-200</t>
  </si>
  <si>
    <t>кран d-65</t>
  </si>
  <si>
    <t>переход 125-150</t>
  </si>
  <si>
    <t>переход 150-200</t>
  </si>
  <si>
    <t>регулятор давления 57</t>
  </si>
  <si>
    <t>задвижка d-150 с эл.приводом</t>
  </si>
  <si>
    <t>бак  3мм</t>
  </si>
  <si>
    <t>900-2,5 м</t>
  </si>
  <si>
    <t>двутавр 18</t>
  </si>
  <si>
    <t>кот.ул. Геройская, 2а</t>
  </si>
  <si>
    <t>КВТС-1 (0,8Гкал/час)</t>
  </si>
  <si>
    <t xml:space="preserve">Котел КВТС-1 </t>
  </si>
  <si>
    <t>Энергия-3 чугун(81Гкал/час)</t>
  </si>
  <si>
    <t xml:space="preserve">Энергия-3 </t>
  </si>
  <si>
    <t>Энергия-3 с авт АМКО,чугун(0,81 Гкал/час)</t>
  </si>
  <si>
    <t>трубопровод d-25</t>
  </si>
  <si>
    <t>Фильтр ФГ-100</t>
  </si>
  <si>
    <t>Счетчик RVG-100</t>
  </si>
  <si>
    <t>ПЗК-100</t>
  </si>
  <si>
    <t>0,6*0,5*0,35</t>
  </si>
  <si>
    <t>уголок 6</t>
  </si>
  <si>
    <t>2*8 рама</t>
  </si>
  <si>
    <t>уголок 10</t>
  </si>
  <si>
    <t>07*6 станина</t>
  </si>
  <si>
    <t xml:space="preserve"> ИГК-60</t>
  </si>
  <si>
    <t>бак 3мм</t>
  </si>
  <si>
    <t>d-0,5 h-0,6</t>
  </si>
  <si>
    <t>трубопровод d-32</t>
  </si>
  <si>
    <t>трубопровод d-40</t>
  </si>
  <si>
    <t>трубопровод d-76</t>
  </si>
  <si>
    <t>трубопровод d-259</t>
  </si>
  <si>
    <t>задвижка d-250</t>
  </si>
  <si>
    <t>кран шаровый d-50</t>
  </si>
  <si>
    <t>кран шаровый d-80</t>
  </si>
  <si>
    <t>кран шаровый d-100</t>
  </si>
  <si>
    <t>кран шаровый d-150</t>
  </si>
  <si>
    <t>вентиль d-20</t>
  </si>
  <si>
    <t>вентиль d-25</t>
  </si>
  <si>
    <t>вентиль d-40</t>
  </si>
  <si>
    <t>вентиль d-50</t>
  </si>
  <si>
    <t>обратный клапан d-40</t>
  </si>
  <si>
    <t>грязевик 200</t>
  </si>
  <si>
    <t>Бак холодной воды</t>
  </si>
  <si>
    <t>d-1,4м, h-2,75м</t>
  </si>
  <si>
    <t>двутавр 12</t>
  </si>
  <si>
    <t>опоры 0,3м - 3шт</t>
  </si>
  <si>
    <t>двутавр 29</t>
  </si>
  <si>
    <t>тельфер</t>
  </si>
  <si>
    <t>уголок 7</t>
  </si>
  <si>
    <t>0,7-2шт</t>
  </si>
  <si>
    <t>уголок 9</t>
  </si>
  <si>
    <t>Обшивка каждых 2 котлов-2,3*2,9*5</t>
  </si>
  <si>
    <t>швеллер 8</t>
  </si>
  <si>
    <t>1,6-2шт</t>
  </si>
  <si>
    <t>швеллер 14</t>
  </si>
  <si>
    <t>0,4м</t>
  </si>
  <si>
    <t xml:space="preserve">насос </t>
  </si>
  <si>
    <t>Ванна бетонная с землей</t>
  </si>
  <si>
    <t>1,5*3,5*0,62</t>
  </si>
  <si>
    <t>Бак-солерастворитель</t>
  </si>
  <si>
    <t>1*1*1</t>
  </si>
  <si>
    <t xml:space="preserve">Фильтры натрикатионитовый </t>
  </si>
  <si>
    <r>
      <rPr>
        <sz val="12"/>
        <rFont val="Symbol"/>
        <family val="1"/>
        <charset val="2"/>
      </rPr>
      <t xml:space="preserve">Æ </t>
    </r>
    <r>
      <rPr>
        <sz val="12"/>
        <rFont val="Calibri"/>
        <family val="2"/>
        <charset val="204"/>
      </rPr>
      <t>1м, h-2м -2шт.</t>
    </r>
  </si>
  <si>
    <t>фланцы</t>
  </si>
  <si>
    <t>ванны 3мм</t>
  </si>
  <si>
    <t>35*20*15-2шт</t>
  </si>
  <si>
    <t>Бак расширительный 3мм</t>
  </si>
  <si>
    <t>0,7*0,7*0,7</t>
  </si>
  <si>
    <t>водомер 25</t>
  </si>
  <si>
    <t>Желоб для проводов</t>
  </si>
  <si>
    <t>100*50</t>
  </si>
  <si>
    <t>лист 3мм</t>
  </si>
  <si>
    <t>крепление к потолку 0,1*1-6шт</t>
  </si>
  <si>
    <t>клапан предохранительный d-100</t>
  </si>
  <si>
    <t>Топка для разогрева труб</t>
  </si>
  <si>
    <t xml:space="preserve">взрывной клапан </t>
  </si>
  <si>
    <t>0,4*0,4*1,65-5шт</t>
  </si>
  <si>
    <t>калорифер</t>
  </si>
  <si>
    <t>1,65*1,6</t>
  </si>
  <si>
    <t>заслонка</t>
  </si>
  <si>
    <t>0,4*0,25-8шт</t>
  </si>
  <si>
    <t>элеватор 57-89</t>
  </si>
  <si>
    <t xml:space="preserve">63см </t>
  </si>
  <si>
    <t>Операторская</t>
  </si>
  <si>
    <t>стена железная 3мм</t>
  </si>
  <si>
    <t>2,2*2,95-2шт, 2,4*2,95-2 шт</t>
  </si>
  <si>
    <t>Окна</t>
  </si>
  <si>
    <t>2,4*1,1</t>
  </si>
  <si>
    <t>1,65*1,1</t>
  </si>
  <si>
    <t>крыша деревянная</t>
  </si>
  <si>
    <t>2,2*2,4</t>
  </si>
  <si>
    <t>стены внутренние ДВП</t>
  </si>
  <si>
    <t>2,2*2,95</t>
  </si>
  <si>
    <t>2,4*2,95</t>
  </si>
  <si>
    <t>Котел КВТС Энергия- 3</t>
  </si>
  <si>
    <t>S пов.нагр-42,2м2</t>
  </si>
  <si>
    <t>Котел КВТС Энергия-3</t>
  </si>
  <si>
    <t>Автоматика АМКО-К-2</t>
  </si>
  <si>
    <t xml:space="preserve">АМКО </t>
  </si>
  <si>
    <t>Шкаф ВРУ</t>
  </si>
  <si>
    <t>автомат 05м*0,6м*1,5м</t>
  </si>
  <si>
    <t>Котел КВТС</t>
  </si>
  <si>
    <t>Hасос З К-9</t>
  </si>
  <si>
    <t>Q=45м3/час.</t>
  </si>
  <si>
    <t>Водоподогреватель 10ОСТ 4секц.</t>
  </si>
  <si>
    <t xml:space="preserve">10ОСТ 4секц. </t>
  </si>
  <si>
    <t>Котел КВ-ТС-1</t>
  </si>
  <si>
    <t>Щит</t>
  </si>
  <si>
    <t xml:space="preserve">ПР 8503-200А </t>
  </si>
  <si>
    <t xml:space="preserve"> ПР 8503-200А </t>
  </si>
  <si>
    <t>Щит ВРУ</t>
  </si>
  <si>
    <t xml:space="preserve">1-18-80-250А </t>
  </si>
  <si>
    <t>Дымовая  Н-27м</t>
  </si>
  <si>
    <t>трубопровод d-48</t>
  </si>
  <si>
    <t>задвижка d-125</t>
  </si>
  <si>
    <t>солерастворитель</t>
  </si>
  <si>
    <t>д-700 н=1,4м</t>
  </si>
  <si>
    <t>швеллер 13,5</t>
  </si>
  <si>
    <t>швеллер 16</t>
  </si>
  <si>
    <t xml:space="preserve">бак 5мм </t>
  </si>
  <si>
    <t>1*1*1,2</t>
  </si>
  <si>
    <t>0,5*1*1,35</t>
  </si>
  <si>
    <t>фильтр</t>
  </si>
  <si>
    <t>д-800 н=3м 2шт</t>
  </si>
  <si>
    <t>0,5*0,5*2*4шт</t>
  </si>
  <si>
    <t>Котельная ул. Львовская, 7-а</t>
  </si>
  <si>
    <t>Котельная пр. Ленина, 22-в</t>
  </si>
  <si>
    <t xml:space="preserve">Итого по договору </t>
  </si>
  <si>
    <t xml:space="preserve">Котельная Больница </t>
  </si>
  <si>
    <t>Котельная ул. Геройская, 2-а</t>
  </si>
  <si>
    <t>Итого по договору</t>
  </si>
  <si>
    <t>Котельная Ржавка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</si>
</sst>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[Red]0.00"/>
    <numFmt numFmtId="165" formatCode="0.00_ ;[Red]\-0.00\ "/>
    <numFmt numFmtId="166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2"/>
      <color rgb="FF0000FF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2"/>
      <color rgb="FF0000FF"/>
      <name val="Calibri"/>
      <family val="2"/>
      <charset val="204"/>
      <scheme val="minor"/>
    </font>
    <font>
      <b/>
      <sz val="20"/>
      <name val="Calibri"/>
      <family val="2"/>
      <charset val="204"/>
    </font>
    <font>
      <b/>
      <sz val="16"/>
      <name val="Calibri"/>
      <family val="2"/>
      <charset val="204"/>
      <scheme val="minor"/>
    </font>
    <font>
      <sz val="18"/>
      <name val="Calibri"/>
      <family val="2"/>
      <charset val="204"/>
    </font>
    <font>
      <sz val="16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6"/>
      <color rgb="FF0000FF"/>
      <name val="Calibri"/>
      <family val="2"/>
      <charset val="204"/>
    </font>
    <font>
      <sz val="12"/>
      <name val="Symbol"/>
      <family val="1"/>
      <charset val="2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rgb="FF0000FF"/>
      <name val="Calibri"/>
      <family val="2"/>
      <charset val="204"/>
    </font>
    <font>
      <b/>
      <sz val="14"/>
      <color rgb="FF0000FF"/>
      <name val="Calibri"/>
      <family val="2"/>
      <charset val="204"/>
      <scheme val="minor"/>
    </font>
    <font>
      <sz val="2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6" fillId="0" borderId="3" xfId="0" applyFont="1" applyBorder="1" applyAlignment="1">
      <alignment horizontal="right" vertical="center" indent="1"/>
    </xf>
    <xf numFmtId="0" fontId="5" fillId="2" borderId="2" xfId="0" applyFont="1" applyFill="1" applyBorder="1" applyAlignment="1">
      <alignment vertical="center"/>
    </xf>
    <xf numFmtId="43" fontId="5" fillId="2" borderId="1" xfId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43" fontId="7" fillId="2" borderId="1" xfId="1" applyFont="1" applyFill="1" applyBorder="1" applyAlignment="1">
      <alignment vertical="center"/>
    </xf>
    <xf numFmtId="0" fontId="9" fillId="0" borderId="2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43" fontId="7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 wrapText="1"/>
    </xf>
    <xf numFmtId="0" fontId="5" fillId="2" borderId="5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43" fontId="5" fillId="2" borderId="1" xfId="3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right" vertical="center"/>
    </xf>
    <xf numFmtId="0" fontId="6" fillId="2" borderId="3" xfId="2" applyFont="1" applyFill="1" applyBorder="1" applyAlignment="1">
      <alignment horizontal="right" vertical="center"/>
    </xf>
    <xf numFmtId="0" fontId="6" fillId="2" borderId="3" xfId="2" applyFont="1" applyFill="1" applyBorder="1" applyAlignment="1">
      <alignment horizontal="right" vertical="center"/>
    </xf>
    <xf numFmtId="4" fontId="5" fillId="2" borderId="1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/>
    </xf>
    <xf numFmtId="4" fontId="3" fillId="2" borderId="1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indent="1"/>
    </xf>
    <xf numFmtId="0" fontId="3" fillId="2" borderId="3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vertical="center"/>
    </xf>
    <xf numFmtId="0" fontId="8" fillId="2" borderId="3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left" vertical="center"/>
    </xf>
    <xf numFmtId="0" fontId="8" fillId="2" borderId="1" xfId="2" applyFont="1" applyFill="1" applyBorder="1" applyAlignment="1">
      <alignment horizontal="right" vertical="center"/>
    </xf>
    <xf numFmtId="4" fontId="8" fillId="2" borderId="1" xfId="2" applyNumberFormat="1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right" vertical="center"/>
    </xf>
    <xf numFmtId="4" fontId="8" fillId="2" borderId="1" xfId="2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right" vertical="center"/>
    </xf>
    <xf numFmtId="0" fontId="7" fillId="2" borderId="0" xfId="2" applyFont="1" applyFill="1" applyAlignment="1">
      <alignment vertical="center"/>
    </xf>
    <xf numFmtId="4" fontId="3" fillId="2" borderId="1" xfId="2" applyNumberFormat="1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2" fillId="2" borderId="1" xfId="2" applyFont="1" applyFill="1" applyBorder="1" applyAlignment="1">
      <alignment horizontal="left" vertical="center"/>
    </xf>
    <xf numFmtId="4" fontId="13" fillId="2" borderId="1" xfId="2" applyNumberFormat="1" applyFont="1" applyFill="1" applyBorder="1" applyAlignment="1">
      <alignment horizontal="left" vertical="center"/>
    </xf>
    <xf numFmtId="14" fontId="3" fillId="2" borderId="1" xfId="2" applyNumberFormat="1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left" vertical="center"/>
    </xf>
    <xf numFmtId="164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indent="1"/>
    </xf>
    <xf numFmtId="0" fontId="8" fillId="2" borderId="2" xfId="2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vertical="center" wrapText="1"/>
    </xf>
    <xf numFmtId="0" fontId="15" fillId="2" borderId="2" xfId="2" applyFont="1" applyFill="1" applyBorder="1" applyAlignment="1">
      <alignment vertical="center"/>
    </xf>
    <xf numFmtId="0" fontId="15" fillId="2" borderId="3" xfId="2" applyFont="1" applyFill="1" applyBorder="1" applyAlignment="1">
      <alignment vertical="center"/>
    </xf>
    <xf numFmtId="0" fontId="15" fillId="2" borderId="3" xfId="2" applyFont="1" applyFill="1" applyBorder="1" applyAlignment="1">
      <alignment horizontal="right" vertical="center"/>
    </xf>
    <xf numFmtId="0" fontId="6" fillId="2" borderId="6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/>
    </xf>
    <xf numFmtId="0" fontId="3" fillId="2" borderId="3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justify" vertical="center" wrapText="1"/>
    </xf>
    <xf numFmtId="0" fontId="18" fillId="0" borderId="1" xfId="2" applyFont="1" applyBorder="1" applyAlignment="1">
      <alignment horizontal="justify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justify" vertical="center" wrapText="1"/>
    </xf>
    <xf numFmtId="0" fontId="19" fillId="2" borderId="2" xfId="2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0" fontId="19" fillId="2" borderId="3" xfId="2" applyFont="1" applyFill="1" applyBorder="1" applyAlignment="1">
      <alignment horizontal="right" vertical="center"/>
    </xf>
    <xf numFmtId="0" fontId="19" fillId="2" borderId="3" xfId="2" applyFont="1" applyFill="1" applyBorder="1" applyAlignment="1">
      <alignment horizontal="center" vertical="center"/>
    </xf>
    <xf numFmtId="4" fontId="19" fillId="2" borderId="1" xfId="2" applyNumberFormat="1" applyFont="1" applyFill="1" applyBorder="1" applyAlignment="1">
      <alignment horizontal="left" vertical="center"/>
    </xf>
    <xf numFmtId="0" fontId="20" fillId="2" borderId="0" xfId="2" applyFont="1" applyFill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 xr:uid="{50FC811F-4BE4-463C-AF0B-E6979B2B00AC}"/>
    <cellStyle name="Финансовый" xfId="1" builtinId="3"/>
    <cellStyle name="Финансовый 2" xfId="3" xr:uid="{D074FDF1-208A-4245-8450-D2D0DFC99D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zoomScale="80" zoomScaleNormal="80" workbookViewId="0">
      <selection sqref="A1:G1"/>
    </sheetView>
  </sheetViews>
  <sheetFormatPr defaultRowHeight="15" x14ac:dyDescent="0.25"/>
  <cols>
    <col min="1" max="1" width="6.5703125" style="31" customWidth="1"/>
    <col min="2" max="2" width="9.140625" style="31"/>
    <col min="3" max="3" width="28.28515625" style="31" customWidth="1"/>
    <col min="4" max="4" width="28.85546875" style="31" customWidth="1"/>
    <col min="5" max="5" width="17" style="31" customWidth="1"/>
    <col min="6" max="6" width="14.85546875" style="31" customWidth="1"/>
    <col min="7" max="7" width="17.28515625" style="31" customWidth="1"/>
    <col min="8" max="16384" width="9.140625" style="31"/>
  </cols>
  <sheetData>
    <row r="1" spans="1:7" s="53" customFormat="1" ht="40.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53.25" customHeight="1" x14ac:dyDescent="0.25">
      <c r="A2" s="22" t="s">
        <v>0</v>
      </c>
      <c r="B2" s="22"/>
      <c r="C2" s="22" t="s">
        <v>1</v>
      </c>
      <c r="D2" s="22" t="s">
        <v>2</v>
      </c>
      <c r="E2" s="22" t="s">
        <v>3</v>
      </c>
      <c r="F2" s="22" t="s">
        <v>4</v>
      </c>
      <c r="G2" s="30" t="s">
        <v>5</v>
      </c>
    </row>
    <row r="3" spans="1:7" ht="15.75" x14ac:dyDescent="0.25">
      <c r="A3" s="32"/>
      <c r="B3" s="33"/>
      <c r="C3" s="34" t="s">
        <v>53</v>
      </c>
      <c r="D3" s="35"/>
      <c r="E3" s="35"/>
      <c r="F3" s="35"/>
      <c r="G3" s="36"/>
    </row>
    <row r="4" spans="1:7" ht="15.75" x14ac:dyDescent="0.25">
      <c r="A4" s="3"/>
      <c r="B4" s="3"/>
      <c r="C4" s="19" t="s">
        <v>6</v>
      </c>
      <c r="D4" s="19" t="s">
        <v>7</v>
      </c>
      <c r="E4" s="19"/>
      <c r="F4" s="19"/>
      <c r="G4" s="10">
        <v>420</v>
      </c>
    </row>
    <row r="5" spans="1:7" ht="15.75" x14ac:dyDescent="0.25">
      <c r="A5" s="3"/>
      <c r="B5" s="3"/>
      <c r="C5" s="19" t="s">
        <v>6</v>
      </c>
      <c r="D5" s="19" t="s">
        <v>8</v>
      </c>
      <c r="E5" s="19"/>
      <c r="F5" s="19"/>
      <c r="G5" s="10">
        <v>550</v>
      </c>
    </row>
    <row r="6" spans="1:7" ht="15.75" x14ac:dyDescent="0.25">
      <c r="A6" s="3"/>
      <c r="B6" s="3"/>
      <c r="C6" s="19" t="s">
        <v>9</v>
      </c>
      <c r="D6" s="19" t="s">
        <v>10</v>
      </c>
      <c r="E6" s="19"/>
      <c r="F6" s="19"/>
      <c r="G6" s="10">
        <f>36*120+50</f>
        <v>4370</v>
      </c>
    </row>
    <row r="7" spans="1:7" ht="15.75" x14ac:dyDescent="0.25">
      <c r="A7" s="3"/>
      <c r="B7" s="3"/>
      <c r="C7" s="19" t="s">
        <v>11</v>
      </c>
      <c r="D7" s="19" t="s">
        <v>12</v>
      </c>
      <c r="E7" s="19"/>
      <c r="F7" s="19"/>
      <c r="G7" s="10">
        <v>6532</v>
      </c>
    </row>
    <row r="8" spans="1:7" ht="15.75" x14ac:dyDescent="0.25">
      <c r="A8" s="3"/>
      <c r="B8" s="3"/>
      <c r="C8" s="19" t="s">
        <v>11</v>
      </c>
      <c r="D8" s="19" t="s">
        <v>13</v>
      </c>
      <c r="E8" s="19"/>
      <c r="F8" s="19"/>
      <c r="G8" s="10">
        <f>36*120+50</f>
        <v>4370</v>
      </c>
    </row>
    <row r="9" spans="1:7" ht="15.75" x14ac:dyDescent="0.25">
      <c r="A9" s="3"/>
      <c r="B9" s="3"/>
      <c r="C9" s="19" t="s">
        <v>11</v>
      </c>
      <c r="D9" s="19" t="s">
        <v>14</v>
      </c>
      <c r="E9" s="19"/>
      <c r="F9" s="19"/>
      <c r="G9" s="10">
        <v>6532</v>
      </c>
    </row>
    <row r="10" spans="1:7" ht="15.75" x14ac:dyDescent="0.25">
      <c r="A10" s="3"/>
      <c r="B10" s="3"/>
      <c r="C10" s="19" t="s">
        <v>11</v>
      </c>
      <c r="D10" s="19" t="s">
        <v>14</v>
      </c>
      <c r="E10" s="19"/>
      <c r="F10" s="19"/>
      <c r="G10" s="10">
        <v>6532</v>
      </c>
    </row>
    <row r="11" spans="1:7" ht="15.75" x14ac:dyDescent="0.25">
      <c r="A11" s="3"/>
      <c r="B11" s="3"/>
      <c r="C11" s="19" t="s">
        <v>15</v>
      </c>
      <c r="D11" s="19" t="s">
        <v>16</v>
      </c>
      <c r="E11" s="19"/>
      <c r="F11" s="19"/>
      <c r="G11" s="10">
        <v>5</v>
      </c>
    </row>
    <row r="12" spans="1:7" ht="31.5" x14ac:dyDescent="0.25">
      <c r="A12" s="3"/>
      <c r="B12" s="3"/>
      <c r="C12" s="19" t="s">
        <v>17</v>
      </c>
      <c r="D12" s="19" t="s">
        <v>18</v>
      </c>
      <c r="E12" s="19"/>
      <c r="F12" s="19"/>
      <c r="G12" s="10">
        <v>0</v>
      </c>
    </row>
    <row r="13" spans="1:7" ht="15.75" x14ac:dyDescent="0.25">
      <c r="A13" s="32"/>
      <c r="B13" s="33"/>
      <c r="C13" s="37" t="s">
        <v>19</v>
      </c>
      <c r="D13" s="38"/>
      <c r="E13" s="39"/>
      <c r="F13" s="39"/>
      <c r="G13" s="40">
        <f>SUM(G4:G12)</f>
        <v>29311</v>
      </c>
    </row>
    <row r="14" spans="1:7" ht="15.75" x14ac:dyDescent="0.25">
      <c r="A14" s="32"/>
      <c r="B14" s="33"/>
      <c r="C14" s="41" t="s">
        <v>20</v>
      </c>
      <c r="D14" s="35"/>
      <c r="E14" s="35"/>
      <c r="F14" s="35"/>
      <c r="G14" s="42"/>
    </row>
    <row r="15" spans="1:7" ht="15.75" x14ac:dyDescent="0.25">
      <c r="A15" s="3"/>
      <c r="B15" s="3"/>
      <c r="C15" s="19" t="s">
        <v>21</v>
      </c>
      <c r="D15" s="19"/>
      <c r="E15" s="19">
        <f>1.2+0.5+0.7+1.2+3</f>
        <v>6.6</v>
      </c>
      <c r="F15" s="19">
        <v>4.22</v>
      </c>
      <c r="G15" s="43">
        <f>E15*F15</f>
        <v>27.851999999999997</v>
      </c>
    </row>
    <row r="16" spans="1:7" ht="15.75" x14ac:dyDescent="0.25">
      <c r="A16" s="3"/>
      <c r="B16" s="3"/>
      <c r="C16" s="19" t="s">
        <v>22</v>
      </c>
      <c r="D16" s="19"/>
      <c r="E16" s="19">
        <f>0.7+0.5+0.2+0.6+0.8+0.6+5</f>
        <v>8.4</v>
      </c>
      <c r="F16" s="19">
        <v>7.34</v>
      </c>
      <c r="G16" s="43">
        <f t="shared" ref="G16:G44" si="0">E16*F16</f>
        <v>61.655999999999999</v>
      </c>
    </row>
    <row r="17" spans="1:7" ht="15.75" x14ac:dyDescent="0.25">
      <c r="A17" s="3"/>
      <c r="B17" s="3"/>
      <c r="C17" s="19" t="s">
        <v>23</v>
      </c>
      <c r="D17" s="19"/>
      <c r="E17" s="19">
        <f>1.5+0.6*5</f>
        <v>4.5</v>
      </c>
      <c r="F17" s="19">
        <v>10.85</v>
      </c>
      <c r="G17" s="43">
        <f t="shared" si="0"/>
        <v>48.824999999999996</v>
      </c>
    </row>
    <row r="18" spans="1:7" ht="15.75" x14ac:dyDescent="0.25">
      <c r="A18" s="44"/>
      <c r="B18" s="45"/>
      <c r="C18" s="19" t="s">
        <v>24</v>
      </c>
      <c r="D18" s="46"/>
      <c r="E18" s="47">
        <f>1.6+1.7+1+1.8+6.5+1.6+19.4</f>
        <v>33.599999999999994</v>
      </c>
      <c r="F18" s="47">
        <v>15.88</v>
      </c>
      <c r="G18" s="43">
        <f t="shared" si="0"/>
        <v>533.56799999999998</v>
      </c>
    </row>
    <row r="19" spans="1:7" ht="15.75" x14ac:dyDescent="0.25">
      <c r="A19" s="44"/>
      <c r="B19" s="45"/>
      <c r="C19" s="45" t="s">
        <v>25</v>
      </c>
      <c r="D19" s="48"/>
      <c r="E19" s="48">
        <f>3+1</f>
        <v>4</v>
      </c>
      <c r="F19" s="48">
        <v>12.8</v>
      </c>
      <c r="G19" s="43">
        <f t="shared" si="0"/>
        <v>51.2</v>
      </c>
    </row>
    <row r="20" spans="1:7" ht="15.75" x14ac:dyDescent="0.25">
      <c r="A20" s="3"/>
      <c r="B20" s="3"/>
      <c r="C20" s="49" t="s">
        <v>26</v>
      </c>
      <c r="D20" s="19"/>
      <c r="E20" s="19">
        <v>5</v>
      </c>
      <c r="F20" s="19">
        <v>19</v>
      </c>
      <c r="G20" s="43">
        <f t="shared" si="0"/>
        <v>95</v>
      </c>
    </row>
    <row r="21" spans="1:7" ht="15.75" x14ac:dyDescent="0.25">
      <c r="A21" s="3"/>
      <c r="B21" s="3"/>
      <c r="C21" s="49" t="s">
        <v>27</v>
      </c>
      <c r="D21" s="19"/>
      <c r="E21" s="19">
        <f>1+5</f>
        <v>6</v>
      </c>
      <c r="F21" s="19">
        <v>27</v>
      </c>
      <c r="G21" s="43">
        <f t="shared" si="0"/>
        <v>162</v>
      </c>
    </row>
    <row r="22" spans="1:7" ht="15.75" x14ac:dyDescent="0.25">
      <c r="A22" s="3"/>
      <c r="B22" s="3"/>
      <c r="C22" s="49" t="s">
        <v>28</v>
      </c>
      <c r="D22" s="19"/>
      <c r="E22" s="19">
        <v>4</v>
      </c>
      <c r="F22" s="19">
        <v>58</v>
      </c>
      <c r="G22" s="43">
        <f t="shared" si="0"/>
        <v>232</v>
      </c>
    </row>
    <row r="23" spans="1:7" ht="15.75" x14ac:dyDescent="0.25">
      <c r="A23" s="3"/>
      <c r="B23" s="3"/>
      <c r="C23" s="19" t="s">
        <v>29</v>
      </c>
      <c r="D23" s="19"/>
      <c r="E23" s="19">
        <v>1</v>
      </c>
      <c r="F23" s="19">
        <v>10.1</v>
      </c>
      <c r="G23" s="43">
        <f t="shared" si="0"/>
        <v>10.1</v>
      </c>
    </row>
    <row r="24" spans="1:7" ht="15.75" x14ac:dyDescent="0.25">
      <c r="A24" s="3"/>
      <c r="B24" s="3"/>
      <c r="C24" s="19" t="s">
        <v>30</v>
      </c>
      <c r="D24" s="19"/>
      <c r="E24" s="19">
        <v>1</v>
      </c>
      <c r="F24" s="19">
        <v>18</v>
      </c>
      <c r="G24" s="43">
        <f t="shared" si="0"/>
        <v>18</v>
      </c>
    </row>
    <row r="25" spans="1:7" ht="15.75" x14ac:dyDescent="0.25">
      <c r="A25" s="3"/>
      <c r="B25" s="3"/>
      <c r="C25" s="19" t="s">
        <v>31</v>
      </c>
      <c r="D25" s="19" t="s">
        <v>32</v>
      </c>
      <c r="E25" s="19">
        <v>1</v>
      </c>
      <c r="F25" s="19">
        <v>17</v>
      </c>
      <c r="G25" s="43">
        <f t="shared" si="0"/>
        <v>17</v>
      </c>
    </row>
    <row r="26" spans="1:7" ht="47.25" x14ac:dyDescent="0.25">
      <c r="A26" s="3"/>
      <c r="B26" s="3"/>
      <c r="C26" s="19" t="s">
        <v>33</v>
      </c>
      <c r="D26" s="19" t="s">
        <v>34</v>
      </c>
      <c r="E26" s="19">
        <v>1</v>
      </c>
      <c r="F26" s="19">
        <v>72.7</v>
      </c>
      <c r="G26" s="43">
        <f t="shared" si="0"/>
        <v>72.7</v>
      </c>
    </row>
    <row r="27" spans="1:7" ht="15.75" x14ac:dyDescent="0.25">
      <c r="A27" s="3"/>
      <c r="B27" s="3"/>
      <c r="C27" s="19" t="s">
        <v>35</v>
      </c>
      <c r="D27" s="19" t="s">
        <v>36</v>
      </c>
      <c r="E27" s="19">
        <v>1</v>
      </c>
      <c r="F27" s="19">
        <v>50</v>
      </c>
      <c r="G27" s="43">
        <f t="shared" si="0"/>
        <v>50</v>
      </c>
    </row>
    <row r="28" spans="1:7" ht="15.75" x14ac:dyDescent="0.25">
      <c r="A28" s="3"/>
      <c r="B28" s="3"/>
      <c r="C28" s="19" t="s">
        <v>37</v>
      </c>
      <c r="D28" s="19"/>
      <c r="E28" s="19">
        <v>1</v>
      </c>
      <c r="F28" s="19">
        <v>90</v>
      </c>
      <c r="G28" s="43">
        <f t="shared" si="0"/>
        <v>90</v>
      </c>
    </row>
    <row r="29" spans="1:7" ht="15.75" x14ac:dyDescent="0.25">
      <c r="A29" s="3"/>
      <c r="B29" s="3"/>
      <c r="C29" s="19" t="s">
        <v>38</v>
      </c>
      <c r="D29" s="19"/>
      <c r="E29" s="19">
        <v>1</v>
      </c>
      <c r="F29" s="19">
        <v>5</v>
      </c>
      <c r="G29" s="43">
        <f t="shared" si="0"/>
        <v>5</v>
      </c>
    </row>
    <row r="30" spans="1:7" ht="15.75" x14ac:dyDescent="0.25">
      <c r="A30" s="3"/>
      <c r="B30" s="3"/>
      <c r="C30" s="19" t="s">
        <v>39</v>
      </c>
      <c r="D30" s="19" t="s">
        <v>40</v>
      </c>
      <c r="E30" s="19">
        <f>0.5*4</f>
        <v>2</v>
      </c>
      <c r="F30" s="19">
        <v>5.8</v>
      </c>
      <c r="G30" s="43">
        <f t="shared" si="0"/>
        <v>11.6</v>
      </c>
    </row>
    <row r="31" spans="1:7" ht="15.75" x14ac:dyDescent="0.25">
      <c r="A31" s="3"/>
      <c r="B31" s="3"/>
      <c r="C31" s="19" t="s">
        <v>41</v>
      </c>
      <c r="D31" s="19" t="s">
        <v>42</v>
      </c>
      <c r="E31" s="19">
        <f>0.3*0.4</f>
        <v>0.12</v>
      </c>
      <c r="F31" s="19">
        <v>39.25</v>
      </c>
      <c r="G31" s="43">
        <f t="shared" si="0"/>
        <v>4.71</v>
      </c>
    </row>
    <row r="32" spans="1:7" ht="15.75" x14ac:dyDescent="0.25">
      <c r="A32" s="32"/>
      <c r="B32" s="33"/>
      <c r="C32" s="50" t="s">
        <v>43</v>
      </c>
      <c r="D32" s="44"/>
      <c r="E32" s="44">
        <v>0.4</v>
      </c>
      <c r="F32" s="44">
        <v>40.142299999999999</v>
      </c>
      <c r="G32" s="43">
        <f t="shared" si="0"/>
        <v>16.056920000000002</v>
      </c>
    </row>
    <row r="33" spans="1:7" ht="15.75" x14ac:dyDescent="0.25">
      <c r="A33" s="32"/>
      <c r="B33" s="33"/>
      <c r="C33" s="50" t="s">
        <v>44</v>
      </c>
      <c r="D33" s="44"/>
      <c r="E33" s="44">
        <v>0.7</v>
      </c>
      <c r="F33" s="44">
        <v>40.142299999999999</v>
      </c>
      <c r="G33" s="43">
        <f t="shared" si="0"/>
        <v>28.099609999999998</v>
      </c>
    </row>
    <row r="34" spans="1:7" ht="15.75" x14ac:dyDescent="0.25">
      <c r="A34" s="3"/>
      <c r="B34" s="3"/>
      <c r="C34" s="51" t="s">
        <v>45</v>
      </c>
      <c r="D34" s="19"/>
      <c r="E34" s="19"/>
      <c r="F34" s="19"/>
      <c r="G34" s="43">
        <f t="shared" si="0"/>
        <v>0</v>
      </c>
    </row>
    <row r="35" spans="1:7" ht="15.75" x14ac:dyDescent="0.25">
      <c r="A35" s="3"/>
      <c r="B35" s="3"/>
      <c r="C35" s="19" t="s">
        <v>21</v>
      </c>
      <c r="D35" s="19"/>
      <c r="E35" s="19">
        <f>19.4+20+1+1.7+0.9+1.4+3+6</f>
        <v>53.4</v>
      </c>
      <c r="F35" s="19">
        <v>4.62</v>
      </c>
      <c r="G35" s="43">
        <f t="shared" si="0"/>
        <v>246.708</v>
      </c>
    </row>
    <row r="36" spans="1:7" ht="15.75" x14ac:dyDescent="0.25">
      <c r="A36" s="3"/>
      <c r="B36" s="3"/>
      <c r="C36" s="19" t="s">
        <v>23</v>
      </c>
      <c r="D36" s="19"/>
      <c r="E36" s="19">
        <f>3*2+2*2+1.2*4+1.5*3+7+2.5+2.7</f>
        <v>31.5</v>
      </c>
      <c r="F36" s="19">
        <v>10.26</v>
      </c>
      <c r="G36" s="43">
        <f t="shared" si="0"/>
        <v>323.19</v>
      </c>
    </row>
    <row r="37" spans="1:7" ht="15.75" x14ac:dyDescent="0.25">
      <c r="A37" s="3"/>
      <c r="B37" s="3"/>
      <c r="C37" s="19" t="s">
        <v>46</v>
      </c>
      <c r="D37" s="19"/>
      <c r="E37" s="19">
        <v>2.5</v>
      </c>
      <c r="F37" s="19">
        <v>15.04</v>
      </c>
      <c r="G37" s="43">
        <f t="shared" si="0"/>
        <v>37.599999999999994</v>
      </c>
    </row>
    <row r="38" spans="1:7" ht="15.75" x14ac:dyDescent="0.25">
      <c r="A38" s="3"/>
      <c r="B38" s="3"/>
      <c r="C38" s="19" t="s">
        <v>24</v>
      </c>
      <c r="D38" s="19"/>
      <c r="E38" s="19">
        <f>0.7*2+2.5+2+1.8+0.5+2</f>
        <v>10.199999999999999</v>
      </c>
      <c r="F38" s="19">
        <v>17.149999999999999</v>
      </c>
      <c r="G38" s="43">
        <f t="shared" si="0"/>
        <v>174.92999999999998</v>
      </c>
    </row>
    <row r="39" spans="1:7" ht="15.75" x14ac:dyDescent="0.25">
      <c r="A39" s="3"/>
      <c r="B39" s="3"/>
      <c r="C39" s="19" t="s">
        <v>47</v>
      </c>
      <c r="D39" s="19"/>
      <c r="E39" s="19">
        <f>20+15+5</f>
        <v>40</v>
      </c>
      <c r="F39" s="19">
        <v>41.628999999999998</v>
      </c>
      <c r="G39" s="43">
        <f t="shared" si="0"/>
        <v>1665.1599999999999</v>
      </c>
    </row>
    <row r="40" spans="1:7" ht="15.75" x14ac:dyDescent="0.25">
      <c r="A40" s="3"/>
      <c r="B40" s="3"/>
      <c r="C40" s="19" t="s">
        <v>48</v>
      </c>
      <c r="D40" s="19"/>
      <c r="E40" s="19">
        <v>1</v>
      </c>
      <c r="F40" s="19">
        <v>8.5</v>
      </c>
      <c r="G40" s="43">
        <f t="shared" si="0"/>
        <v>8.5</v>
      </c>
    </row>
    <row r="41" spans="1:7" ht="15.75" x14ac:dyDescent="0.25">
      <c r="A41" s="3"/>
      <c r="B41" s="3"/>
      <c r="C41" s="19" t="s">
        <v>49</v>
      </c>
      <c r="D41" s="19"/>
      <c r="E41" s="19">
        <f>2+4</f>
        <v>6</v>
      </c>
      <c r="F41" s="19">
        <v>12.9</v>
      </c>
      <c r="G41" s="43">
        <f t="shared" si="0"/>
        <v>77.400000000000006</v>
      </c>
    </row>
    <row r="42" spans="1:7" ht="15.75" x14ac:dyDescent="0.25">
      <c r="A42" s="3"/>
      <c r="B42" s="3"/>
      <c r="C42" s="19" t="s">
        <v>50</v>
      </c>
      <c r="D42" s="19"/>
      <c r="E42" s="19">
        <f>1</f>
        <v>1</v>
      </c>
      <c r="F42" s="19">
        <v>27.2</v>
      </c>
      <c r="G42" s="43">
        <f t="shared" si="0"/>
        <v>27.2</v>
      </c>
    </row>
    <row r="43" spans="1:7" ht="15.75" x14ac:dyDescent="0.25">
      <c r="A43" s="3"/>
      <c r="B43" s="3"/>
      <c r="C43" s="19" t="s">
        <v>51</v>
      </c>
      <c r="D43" s="19"/>
      <c r="E43" s="19">
        <f>2+1</f>
        <v>3</v>
      </c>
      <c r="F43" s="19">
        <v>27.4</v>
      </c>
      <c r="G43" s="43">
        <f t="shared" si="0"/>
        <v>82.199999999999989</v>
      </c>
    </row>
    <row r="44" spans="1:7" ht="15.75" x14ac:dyDescent="0.25">
      <c r="A44" s="3"/>
      <c r="B44" s="3"/>
      <c r="C44" s="19" t="s">
        <v>52</v>
      </c>
      <c r="D44" s="19"/>
      <c r="E44" s="19">
        <v>4</v>
      </c>
      <c r="F44" s="19">
        <v>23.5</v>
      </c>
      <c r="G44" s="43">
        <f t="shared" si="0"/>
        <v>94</v>
      </c>
    </row>
  </sheetData>
  <mergeCells count="2">
    <mergeCell ref="C13:D13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24E2B-9714-46CE-8636-3D918EA9B476}">
  <dimension ref="A1:G28"/>
  <sheetViews>
    <sheetView zoomScale="90" zoomScaleNormal="90" workbookViewId="0">
      <selection activeCell="F15" sqref="F15"/>
    </sheetView>
  </sheetViews>
  <sheetFormatPr defaultRowHeight="15" x14ac:dyDescent="0.25"/>
  <cols>
    <col min="3" max="3" width="27.85546875" customWidth="1"/>
    <col min="4" max="4" width="35.140625" customWidth="1"/>
    <col min="5" max="5" width="24.140625" customWidth="1"/>
    <col min="6" max="6" width="14.5703125" customWidth="1"/>
    <col min="7" max="7" width="13.42578125" customWidth="1"/>
  </cols>
  <sheetData>
    <row r="1" spans="1:7" s="53" customFormat="1" ht="40.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82.5" customHeight="1" x14ac:dyDescent="0.25">
      <c r="A2" s="1" t="s">
        <v>0</v>
      </c>
      <c r="B2" s="1"/>
      <c r="C2" s="1" t="s">
        <v>1</v>
      </c>
      <c r="D2" s="1" t="s">
        <v>2</v>
      </c>
      <c r="E2" s="1" t="s">
        <v>3</v>
      </c>
      <c r="F2" s="1" t="s">
        <v>4</v>
      </c>
      <c r="G2" s="2" t="s">
        <v>5</v>
      </c>
    </row>
    <row r="3" spans="1:7" ht="15.75" x14ac:dyDescent="0.25">
      <c r="A3" s="4"/>
      <c r="B3" s="5"/>
      <c r="C3" s="6" t="s">
        <v>67</v>
      </c>
      <c r="D3" s="7"/>
      <c r="E3" s="7"/>
      <c r="F3" s="7"/>
      <c r="G3" s="15"/>
    </row>
    <row r="4" spans="1:7" ht="15.75" x14ac:dyDescent="0.25">
      <c r="A4" s="1"/>
      <c r="B4" s="1"/>
      <c r="C4" s="8" t="s">
        <v>11</v>
      </c>
      <c r="D4" s="8" t="s">
        <v>54</v>
      </c>
      <c r="E4" s="8"/>
      <c r="F4" s="8"/>
      <c r="G4" s="9">
        <v>3612</v>
      </c>
    </row>
    <row r="5" spans="1:7" ht="15.75" x14ac:dyDescent="0.25">
      <c r="A5" s="1"/>
      <c r="B5" s="1"/>
      <c r="C5" s="8" t="s">
        <v>11</v>
      </c>
      <c r="D5" s="8" t="s">
        <v>54</v>
      </c>
      <c r="E5" s="8"/>
      <c r="F5" s="8"/>
      <c r="G5" s="9">
        <v>3612</v>
      </c>
    </row>
    <row r="6" spans="1:7" ht="47.25" x14ac:dyDescent="0.25">
      <c r="A6" s="1"/>
      <c r="B6" s="1"/>
      <c r="C6" s="8" t="s">
        <v>17</v>
      </c>
      <c r="D6" s="8" t="s">
        <v>55</v>
      </c>
      <c r="E6" s="8" t="s">
        <v>56</v>
      </c>
      <c r="F6" s="8">
        <f>107.55</f>
        <v>107.55</v>
      </c>
      <c r="G6" s="23">
        <f>-17.05*107.55</f>
        <v>-1833.7275</v>
      </c>
    </row>
    <row r="7" spans="1:7" ht="15.75" x14ac:dyDescent="0.25">
      <c r="A7" s="24"/>
      <c r="B7" s="25"/>
      <c r="C7" s="11"/>
      <c r="D7" s="12"/>
      <c r="E7" s="13"/>
      <c r="F7" s="13"/>
      <c r="G7" s="26">
        <f>SUM(G4:G6)</f>
        <v>5390.2725</v>
      </c>
    </row>
    <row r="8" spans="1:7" ht="15.75" x14ac:dyDescent="0.25">
      <c r="A8" s="4"/>
      <c r="B8" s="5"/>
      <c r="C8" s="14" t="s">
        <v>20</v>
      </c>
      <c r="D8" s="7"/>
      <c r="E8" s="7"/>
      <c r="F8" s="7"/>
      <c r="G8" s="15"/>
    </row>
    <row r="9" spans="1:7" ht="31.5" x14ac:dyDescent="0.25">
      <c r="A9" s="1"/>
      <c r="B9" s="1"/>
      <c r="C9" s="8" t="s">
        <v>22</v>
      </c>
      <c r="D9" s="8"/>
      <c r="E9" s="8">
        <f>(0.4+0.9+0.5)*3</f>
        <v>5.4</v>
      </c>
      <c r="F9" s="8">
        <v>7.34</v>
      </c>
      <c r="G9" s="16">
        <f t="shared" ref="G9:G28" si="0">E9*F9</f>
        <v>39.636000000000003</v>
      </c>
    </row>
    <row r="10" spans="1:7" ht="31.5" x14ac:dyDescent="0.25">
      <c r="A10" s="1"/>
      <c r="B10" s="1"/>
      <c r="C10" s="8" t="s">
        <v>23</v>
      </c>
      <c r="D10" s="8"/>
      <c r="E10" s="8">
        <f>1.3+2.2+0.7+0.5+0.6+0.6+1.9+8+0.5*3</f>
        <v>17.299999999999997</v>
      </c>
      <c r="F10" s="8">
        <v>10.85</v>
      </c>
      <c r="G10" s="16">
        <f t="shared" si="0"/>
        <v>187.70499999999996</v>
      </c>
    </row>
    <row r="11" spans="1:7" ht="31.5" x14ac:dyDescent="0.25">
      <c r="A11" s="1"/>
      <c r="B11" s="1"/>
      <c r="C11" s="8" t="s">
        <v>24</v>
      </c>
      <c r="D11" s="17"/>
      <c r="E11" s="18">
        <f>0.35+0.35</f>
        <v>0.7</v>
      </c>
      <c r="F11" s="18">
        <v>15.88</v>
      </c>
      <c r="G11" s="16">
        <f t="shared" si="0"/>
        <v>11.116</v>
      </c>
    </row>
    <row r="12" spans="1:7" ht="15.75" x14ac:dyDescent="0.25">
      <c r="A12" s="1"/>
      <c r="B12" s="1"/>
      <c r="C12" s="20" t="s">
        <v>26</v>
      </c>
      <c r="D12" s="8"/>
      <c r="E12" s="8">
        <v>6</v>
      </c>
      <c r="F12" s="8">
        <v>19</v>
      </c>
      <c r="G12" s="16">
        <f t="shared" si="0"/>
        <v>114</v>
      </c>
    </row>
    <row r="13" spans="1:7" ht="15.75" x14ac:dyDescent="0.25">
      <c r="A13" s="1"/>
      <c r="B13" s="1"/>
      <c r="C13" s="20" t="s">
        <v>27</v>
      </c>
      <c r="D13" s="8"/>
      <c r="E13" s="8">
        <v>4</v>
      </c>
      <c r="F13" s="8">
        <v>27</v>
      </c>
      <c r="G13" s="16">
        <f t="shared" si="0"/>
        <v>108</v>
      </c>
    </row>
    <row r="14" spans="1:7" ht="15.75" x14ac:dyDescent="0.25">
      <c r="A14" s="1"/>
      <c r="B14" s="1"/>
      <c r="C14" s="8" t="s">
        <v>28</v>
      </c>
      <c r="D14" s="8"/>
      <c r="E14" s="8">
        <v>1</v>
      </c>
      <c r="F14" s="8">
        <v>58</v>
      </c>
      <c r="G14" s="16">
        <f>E14*F14</f>
        <v>58</v>
      </c>
    </row>
    <row r="15" spans="1:7" ht="63" x14ac:dyDescent="0.25">
      <c r="A15" s="1"/>
      <c r="B15" s="1"/>
      <c r="C15" s="8" t="s">
        <v>57</v>
      </c>
      <c r="D15" s="8" t="s">
        <v>58</v>
      </c>
      <c r="E15" s="8">
        <v>2</v>
      </c>
      <c r="F15" s="8">
        <v>4.7</v>
      </c>
      <c r="G15" s="16">
        <f t="shared" si="0"/>
        <v>9.4</v>
      </c>
    </row>
    <row r="16" spans="1:7" ht="31.5" x14ac:dyDescent="0.25">
      <c r="A16" s="4"/>
      <c r="B16" s="5"/>
      <c r="C16" s="8" t="s">
        <v>59</v>
      </c>
      <c r="D16" s="8" t="s">
        <v>60</v>
      </c>
      <c r="E16" s="8">
        <v>2</v>
      </c>
      <c r="F16" s="8">
        <v>20</v>
      </c>
      <c r="G16" s="16">
        <f t="shared" si="0"/>
        <v>40</v>
      </c>
    </row>
    <row r="17" spans="1:7" ht="47.25" x14ac:dyDescent="0.25">
      <c r="A17" s="4"/>
      <c r="B17" s="5"/>
      <c r="C17" s="8" t="s">
        <v>61</v>
      </c>
      <c r="D17" s="8" t="s">
        <v>62</v>
      </c>
      <c r="E17" s="8">
        <v>1</v>
      </c>
      <c r="F17" s="8">
        <v>52.5</v>
      </c>
      <c r="G17" s="16">
        <f t="shared" si="0"/>
        <v>52.5</v>
      </c>
    </row>
    <row r="18" spans="1:7" ht="15.75" x14ac:dyDescent="0.25">
      <c r="A18" s="1"/>
      <c r="B18" s="1"/>
      <c r="C18" s="21" t="s">
        <v>45</v>
      </c>
      <c r="D18" s="8"/>
      <c r="E18" s="8"/>
      <c r="F18" s="8"/>
      <c r="G18" s="16"/>
    </row>
    <row r="19" spans="1:7" ht="15.75" x14ac:dyDescent="0.25">
      <c r="A19" s="1"/>
      <c r="B19" s="1"/>
      <c r="C19" s="8" t="s">
        <v>11</v>
      </c>
      <c r="D19" s="8" t="s">
        <v>54</v>
      </c>
      <c r="E19" s="8">
        <v>1</v>
      </c>
      <c r="F19" s="8">
        <v>3612</v>
      </c>
      <c r="G19" s="16">
        <f t="shared" ref="G19" si="1">E19*F19</f>
        <v>3612</v>
      </c>
    </row>
    <row r="20" spans="1:7" ht="31.5" x14ac:dyDescent="0.25">
      <c r="A20" s="1"/>
      <c r="B20" s="1"/>
      <c r="C20" s="8" t="s">
        <v>21</v>
      </c>
      <c r="D20" s="8"/>
      <c r="E20" s="8">
        <f>1.2*2</f>
        <v>2.4</v>
      </c>
      <c r="F20" s="8">
        <v>4.62</v>
      </c>
      <c r="G20" s="16">
        <f t="shared" si="0"/>
        <v>11.087999999999999</v>
      </c>
    </row>
    <row r="21" spans="1:7" ht="31.5" x14ac:dyDescent="0.25">
      <c r="A21" s="1"/>
      <c r="B21" s="1"/>
      <c r="C21" s="8" t="s">
        <v>22</v>
      </c>
      <c r="D21" s="8"/>
      <c r="E21" s="8">
        <f>1+0.8+3+2.6+1.5+0.5</f>
        <v>9.4</v>
      </c>
      <c r="F21" s="8">
        <v>9.3800000000000008</v>
      </c>
      <c r="G21" s="16">
        <f t="shared" si="0"/>
        <v>88.172000000000011</v>
      </c>
    </row>
    <row r="22" spans="1:7" ht="31.5" x14ac:dyDescent="0.25">
      <c r="A22" s="1"/>
      <c r="B22" s="1"/>
      <c r="C22" s="8" t="s">
        <v>23</v>
      </c>
      <c r="D22" s="8"/>
      <c r="E22" s="8">
        <f>1.6+4.2+9+1*3+1.6+1.3+2+8+8+3+1.5*2</f>
        <v>44.7</v>
      </c>
      <c r="F22" s="8">
        <v>10.26</v>
      </c>
      <c r="G22" s="16">
        <f t="shared" si="0"/>
        <v>458.62200000000001</v>
      </c>
    </row>
    <row r="23" spans="1:7" ht="31.5" x14ac:dyDescent="0.25">
      <c r="A23" s="1"/>
      <c r="B23" s="27"/>
      <c r="C23" s="8" t="s">
        <v>63</v>
      </c>
      <c r="D23" s="8"/>
      <c r="E23" s="8">
        <v>1.2</v>
      </c>
      <c r="F23" s="8">
        <v>41.628999999999998</v>
      </c>
      <c r="G23" s="16">
        <f t="shared" si="0"/>
        <v>49.954799999999999</v>
      </c>
    </row>
    <row r="24" spans="1:7" ht="15.75" x14ac:dyDescent="0.25">
      <c r="A24" s="4"/>
      <c r="B24" s="5"/>
      <c r="C24" s="8" t="s">
        <v>29</v>
      </c>
      <c r="D24" s="8"/>
      <c r="E24" s="8">
        <v>1</v>
      </c>
      <c r="F24" s="8">
        <v>10.1</v>
      </c>
      <c r="G24" s="16">
        <f t="shared" si="0"/>
        <v>10.1</v>
      </c>
    </row>
    <row r="25" spans="1:7" ht="21" x14ac:dyDescent="0.25">
      <c r="A25" s="28"/>
      <c r="B25" s="29"/>
      <c r="C25" s="8" t="s">
        <v>49</v>
      </c>
      <c r="D25" s="8"/>
      <c r="E25" s="8">
        <f>1+2+1</f>
        <v>4</v>
      </c>
      <c r="F25" s="8">
        <v>12.9</v>
      </c>
      <c r="G25" s="16">
        <f t="shared" si="0"/>
        <v>51.6</v>
      </c>
    </row>
    <row r="26" spans="1:7" ht="31.5" x14ac:dyDescent="0.25">
      <c r="A26" s="4"/>
      <c r="B26" s="5"/>
      <c r="C26" s="8" t="s">
        <v>64</v>
      </c>
      <c r="D26" s="8"/>
      <c r="E26" s="8">
        <v>3</v>
      </c>
      <c r="F26" s="8">
        <v>20</v>
      </c>
      <c r="G26" s="16">
        <f t="shared" si="0"/>
        <v>60</v>
      </c>
    </row>
    <row r="27" spans="1:7" ht="63" x14ac:dyDescent="0.25">
      <c r="A27" s="1"/>
      <c r="B27" s="1"/>
      <c r="C27" s="8" t="s">
        <v>65</v>
      </c>
      <c r="D27" s="8"/>
      <c r="E27" s="8">
        <f>0.38*1.9*2+0.44*1.9*2</f>
        <v>3.1159999999999997</v>
      </c>
      <c r="F27" s="8">
        <v>23.55</v>
      </c>
      <c r="G27" s="16">
        <f t="shared" si="0"/>
        <v>73.381799999999998</v>
      </c>
    </row>
    <row r="28" spans="1:7" ht="31.5" x14ac:dyDescent="0.25">
      <c r="A28" s="1"/>
      <c r="B28" s="1"/>
      <c r="C28" s="8" t="s">
        <v>66</v>
      </c>
      <c r="D28" s="8"/>
      <c r="E28" s="8">
        <v>2</v>
      </c>
      <c r="F28" s="8">
        <v>9</v>
      </c>
      <c r="G28" s="16">
        <f t="shared" si="0"/>
        <v>18</v>
      </c>
    </row>
  </sheetData>
  <mergeCells count="2">
    <mergeCell ref="C7:D7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D907-EAD0-4777-AD50-8D87BEF70BED}">
  <sheetPr>
    <pageSetUpPr fitToPage="1"/>
  </sheetPr>
  <dimension ref="A1:G159"/>
  <sheetViews>
    <sheetView view="pageBreakPreview" zoomScale="90" zoomScaleNormal="85" zoomScaleSheetLayoutView="90" workbookViewId="0">
      <pane xSplit="4" ySplit="3" topLeftCell="E4" activePane="bottomRight" state="frozen"/>
      <selection activeCell="G9" sqref="G9"/>
      <selection pane="topRight" activeCell="G9" sqref="G9"/>
      <selection pane="bottomLeft" activeCell="G9" sqref="G9"/>
      <selection pane="bottomRight" activeCell="A5" sqref="A5:A17"/>
    </sheetView>
  </sheetViews>
  <sheetFormatPr defaultRowHeight="15.75" x14ac:dyDescent="0.25"/>
  <cols>
    <col min="1" max="2" width="5.28515625" style="53" customWidth="1"/>
    <col min="3" max="3" width="31.28515625" style="96" customWidth="1"/>
    <col min="4" max="4" width="29.28515625" style="96" customWidth="1"/>
    <col min="5" max="6" width="16.140625" style="96" customWidth="1"/>
    <col min="7" max="7" width="16.85546875" style="97" bestFit="1" customWidth="1"/>
    <col min="8" max="16384" width="9.140625" style="53"/>
  </cols>
  <sheetData>
    <row r="1" spans="1:7" ht="40.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19.5" customHeight="1" x14ac:dyDescent="0.25">
      <c r="A2" s="54"/>
      <c r="B2" s="54"/>
      <c r="C2" s="55"/>
      <c r="D2" s="55"/>
      <c r="E2" s="55"/>
      <c r="F2" s="55"/>
      <c r="G2" s="55"/>
    </row>
    <row r="3" spans="1:7" ht="47.25" x14ac:dyDescent="0.25">
      <c r="A3" s="56" t="s">
        <v>0</v>
      </c>
      <c r="B3" s="56"/>
      <c r="C3" s="56" t="s">
        <v>1</v>
      </c>
      <c r="D3" s="56" t="s">
        <v>2</v>
      </c>
      <c r="E3" s="56" t="s">
        <v>3</v>
      </c>
      <c r="F3" s="56" t="s">
        <v>4</v>
      </c>
      <c r="G3" s="57" t="s">
        <v>5</v>
      </c>
    </row>
    <row r="4" spans="1:7" x14ac:dyDescent="0.25">
      <c r="A4" s="58"/>
      <c r="B4" s="59"/>
      <c r="C4" s="60" t="s">
        <v>281</v>
      </c>
      <c r="D4" s="61"/>
      <c r="E4" s="61"/>
      <c r="F4" s="61"/>
      <c r="G4" s="62"/>
    </row>
    <row r="5" spans="1:7" x14ac:dyDescent="0.25">
      <c r="A5" s="56"/>
      <c r="B5" s="56"/>
      <c r="C5" s="63" t="s">
        <v>70</v>
      </c>
      <c r="D5" s="63" t="s">
        <v>71</v>
      </c>
      <c r="E5" s="63"/>
      <c r="F5" s="63"/>
      <c r="G5" s="57">
        <v>0.2</v>
      </c>
    </row>
    <row r="6" spans="1:7" x14ac:dyDescent="0.25">
      <c r="A6" s="56"/>
      <c r="B6" s="56"/>
      <c r="C6" s="63" t="s">
        <v>72</v>
      </c>
      <c r="D6" s="63" t="s">
        <v>73</v>
      </c>
      <c r="E6" s="63"/>
      <c r="F6" s="63"/>
      <c r="G6" s="64">
        <f>36*120+50</f>
        <v>4370</v>
      </c>
    </row>
    <row r="7" spans="1:7" x14ac:dyDescent="0.25">
      <c r="A7" s="56"/>
      <c r="B7" s="56"/>
      <c r="C7" s="63" t="s">
        <v>72</v>
      </c>
      <c r="D7" s="63" t="s">
        <v>73</v>
      </c>
      <c r="E7" s="63"/>
      <c r="F7" s="63"/>
      <c r="G7" s="64">
        <f>36*120+50</f>
        <v>4370</v>
      </c>
    </row>
    <row r="8" spans="1:7" x14ac:dyDescent="0.25">
      <c r="A8" s="56"/>
      <c r="B8" s="56"/>
      <c r="C8" s="63" t="s">
        <v>72</v>
      </c>
      <c r="D8" s="63" t="s">
        <v>73</v>
      </c>
      <c r="E8" s="63"/>
      <c r="F8" s="63"/>
      <c r="G8" s="64">
        <f>36*120+50</f>
        <v>4370</v>
      </c>
    </row>
    <row r="9" spans="1:7" x14ac:dyDescent="0.25">
      <c r="A9" s="56"/>
      <c r="B9" s="56"/>
      <c r="C9" s="63" t="s">
        <v>6</v>
      </c>
      <c r="D9" s="63" t="s">
        <v>74</v>
      </c>
      <c r="E9" s="63"/>
      <c r="F9" s="63"/>
      <c r="G9" s="57">
        <v>78</v>
      </c>
    </row>
    <row r="10" spans="1:7" x14ac:dyDescent="0.25">
      <c r="A10" s="56"/>
      <c r="B10" s="56"/>
      <c r="C10" s="63" t="s">
        <v>75</v>
      </c>
      <c r="D10" s="63" t="s">
        <v>76</v>
      </c>
      <c r="E10" s="63"/>
      <c r="F10" s="63"/>
      <c r="G10" s="57">
        <v>213</v>
      </c>
    </row>
    <row r="11" spans="1:7" x14ac:dyDescent="0.25">
      <c r="A11" s="56"/>
      <c r="B11" s="56"/>
      <c r="C11" s="63" t="s">
        <v>6</v>
      </c>
      <c r="D11" s="63" t="s">
        <v>77</v>
      </c>
      <c r="E11" s="63"/>
      <c r="F11" s="63"/>
      <c r="G11" s="57">
        <v>250</v>
      </c>
    </row>
    <row r="12" spans="1:7" x14ac:dyDescent="0.25">
      <c r="A12" s="56"/>
      <c r="B12" s="56"/>
      <c r="C12" s="63" t="s">
        <v>78</v>
      </c>
      <c r="D12" s="63" t="s">
        <v>79</v>
      </c>
      <c r="E12" s="63"/>
      <c r="F12" s="63"/>
      <c r="G12" s="57">
        <v>620</v>
      </c>
    </row>
    <row r="13" spans="1:7" x14ac:dyDescent="0.25">
      <c r="A13" s="56"/>
      <c r="B13" s="56"/>
      <c r="C13" s="63" t="s">
        <v>6</v>
      </c>
      <c r="D13" s="63" t="s">
        <v>80</v>
      </c>
      <c r="E13" s="63"/>
      <c r="F13" s="63"/>
      <c r="G13" s="57">
        <v>420</v>
      </c>
    </row>
    <row r="14" spans="1:7" x14ac:dyDescent="0.25">
      <c r="A14" s="56"/>
      <c r="B14" s="56"/>
      <c r="C14" s="63" t="s">
        <v>72</v>
      </c>
      <c r="D14" s="63" t="s">
        <v>73</v>
      </c>
      <c r="E14" s="63"/>
      <c r="F14" s="63"/>
      <c r="G14" s="64">
        <f>36*120+50</f>
        <v>4370</v>
      </c>
    </row>
    <row r="15" spans="1:7" x14ac:dyDescent="0.25">
      <c r="A15" s="56"/>
      <c r="B15" s="56"/>
      <c r="C15" s="63" t="s">
        <v>6</v>
      </c>
      <c r="D15" s="63" t="s">
        <v>81</v>
      </c>
      <c r="E15" s="63"/>
      <c r="F15" s="63"/>
      <c r="G15" s="57">
        <v>58</v>
      </c>
    </row>
    <row r="16" spans="1:7" x14ac:dyDescent="0.25">
      <c r="A16" s="56"/>
      <c r="B16" s="56"/>
      <c r="C16" s="63" t="s">
        <v>78</v>
      </c>
      <c r="D16" s="63" t="s">
        <v>79</v>
      </c>
      <c r="E16" s="63"/>
      <c r="F16" s="63"/>
      <c r="G16" s="57">
        <v>620</v>
      </c>
    </row>
    <row r="17" spans="1:7" x14ac:dyDescent="0.25">
      <c r="A17" s="58"/>
      <c r="B17" s="59"/>
      <c r="C17" s="65" t="s">
        <v>82</v>
      </c>
      <c r="D17" s="66"/>
      <c r="E17" s="67"/>
      <c r="F17" s="67"/>
      <c r="G17" s="68">
        <f>SUM(G5:G16)</f>
        <v>19739.2</v>
      </c>
    </row>
    <row r="18" spans="1:7" x14ac:dyDescent="0.25">
      <c r="A18" s="58"/>
      <c r="B18" s="59"/>
      <c r="C18" s="69" t="s">
        <v>20</v>
      </c>
      <c r="D18" s="61"/>
      <c r="E18" s="61"/>
      <c r="F18" s="61"/>
      <c r="G18" s="62"/>
    </row>
    <row r="19" spans="1:7" x14ac:dyDescent="0.25">
      <c r="A19" s="58"/>
      <c r="B19" s="59"/>
      <c r="C19" s="63" t="s">
        <v>83</v>
      </c>
      <c r="D19" s="63"/>
      <c r="E19" s="63">
        <f>9+2.3+4.5+2.3+4.5</f>
        <v>22.6</v>
      </c>
      <c r="F19" s="63">
        <v>2.62</v>
      </c>
      <c r="G19" s="70">
        <f t="shared" ref="G19:G51" si="0">E19*F19</f>
        <v>59.212000000000003</v>
      </c>
    </row>
    <row r="20" spans="1:7" x14ac:dyDescent="0.25">
      <c r="A20" s="56"/>
      <c r="B20" s="56"/>
      <c r="C20" s="63" t="s">
        <v>21</v>
      </c>
      <c r="D20" s="63"/>
      <c r="E20" s="63">
        <f>0.9+1.1+0.4+1.3+0.5+1.5*4</f>
        <v>10.199999999999999</v>
      </c>
      <c r="F20" s="63">
        <v>4.22</v>
      </c>
      <c r="G20" s="70">
        <f t="shared" si="0"/>
        <v>43.043999999999997</v>
      </c>
    </row>
    <row r="21" spans="1:7" x14ac:dyDescent="0.25">
      <c r="A21" s="56"/>
      <c r="B21" s="56"/>
      <c r="C21" s="63" t="s">
        <v>22</v>
      </c>
      <c r="D21" s="63"/>
      <c r="E21" s="63">
        <f>1.3+0.2+0.3+0.4+0.4+1.3+0.2+(0.7+0.8)*4+2.5*5</f>
        <v>22.6</v>
      </c>
      <c r="F21" s="63">
        <v>7.34</v>
      </c>
      <c r="G21" s="70">
        <f t="shared" si="0"/>
        <v>165.88400000000001</v>
      </c>
    </row>
    <row r="22" spans="1:7" x14ac:dyDescent="0.25">
      <c r="A22" s="56"/>
      <c r="B22" s="56"/>
      <c r="C22" s="63" t="s">
        <v>23</v>
      </c>
      <c r="D22" s="63"/>
      <c r="E22" s="63">
        <f>9+0.7+6+0.7+0.6+1.8+0.3+0.2+0.7+0.2+2+2.2+12</f>
        <v>36.4</v>
      </c>
      <c r="F22" s="63">
        <v>10.85</v>
      </c>
      <c r="G22" s="70">
        <f t="shared" si="0"/>
        <v>394.94</v>
      </c>
    </row>
    <row r="23" spans="1:7" x14ac:dyDescent="0.25">
      <c r="A23" s="71"/>
      <c r="B23" s="72"/>
      <c r="C23" s="63" t="s">
        <v>24</v>
      </c>
      <c r="D23" s="73"/>
      <c r="E23" s="74">
        <f>1.2+0.8+0.4+1+0.5</f>
        <v>3.9</v>
      </c>
      <c r="F23" s="74">
        <v>15.88</v>
      </c>
      <c r="G23" s="70">
        <f t="shared" si="0"/>
        <v>61.932000000000002</v>
      </c>
    </row>
    <row r="24" spans="1:7" x14ac:dyDescent="0.25">
      <c r="A24" s="71"/>
      <c r="B24" s="72"/>
      <c r="C24" s="63" t="s">
        <v>47</v>
      </c>
      <c r="D24" s="73"/>
      <c r="E24" s="74">
        <v>0.3</v>
      </c>
      <c r="F24" s="74">
        <v>41.628999999999998</v>
      </c>
      <c r="G24" s="70">
        <f t="shared" si="0"/>
        <v>12.4887</v>
      </c>
    </row>
    <row r="25" spans="1:7" x14ac:dyDescent="0.25">
      <c r="A25" s="71"/>
      <c r="B25" s="72"/>
      <c r="C25" s="72" t="s">
        <v>25</v>
      </c>
      <c r="D25" s="75"/>
      <c r="E25" s="75">
        <f>1+2+1</f>
        <v>4</v>
      </c>
      <c r="F25" s="75">
        <v>12.8</v>
      </c>
      <c r="G25" s="70">
        <f t="shared" si="0"/>
        <v>51.2</v>
      </c>
    </row>
    <row r="26" spans="1:7" x14ac:dyDescent="0.25">
      <c r="A26" s="56"/>
      <c r="B26" s="56"/>
      <c r="C26" s="76" t="s">
        <v>26</v>
      </c>
      <c r="D26" s="63"/>
      <c r="E26" s="63">
        <v>4</v>
      </c>
      <c r="F26" s="63">
        <v>19</v>
      </c>
      <c r="G26" s="70">
        <f t="shared" si="0"/>
        <v>76</v>
      </c>
    </row>
    <row r="27" spans="1:7" x14ac:dyDescent="0.25">
      <c r="A27" s="56"/>
      <c r="B27" s="56"/>
      <c r="C27" s="76" t="s">
        <v>27</v>
      </c>
      <c r="D27" s="63"/>
      <c r="E27" s="63">
        <v>1</v>
      </c>
      <c r="F27" s="63">
        <v>27</v>
      </c>
      <c r="G27" s="70">
        <f t="shared" si="0"/>
        <v>27</v>
      </c>
    </row>
    <row r="28" spans="1:7" x14ac:dyDescent="0.25">
      <c r="A28" s="56"/>
      <c r="B28" s="56"/>
      <c r="C28" s="76" t="s">
        <v>28</v>
      </c>
      <c r="D28" s="63"/>
      <c r="E28" s="63">
        <v>3</v>
      </c>
      <c r="F28" s="63">
        <v>58</v>
      </c>
      <c r="G28" s="70">
        <f t="shared" si="0"/>
        <v>174</v>
      </c>
    </row>
    <row r="29" spans="1:7" x14ac:dyDescent="0.25">
      <c r="A29" s="56"/>
      <c r="B29" s="56"/>
      <c r="C29" s="63" t="s">
        <v>29</v>
      </c>
      <c r="D29" s="63"/>
      <c r="E29" s="63">
        <v>2</v>
      </c>
      <c r="F29" s="63">
        <v>10.1</v>
      </c>
      <c r="G29" s="70">
        <f t="shared" si="0"/>
        <v>20.2</v>
      </c>
    </row>
    <row r="30" spans="1:7" x14ac:dyDescent="0.25">
      <c r="A30" s="56"/>
      <c r="B30" s="56"/>
      <c r="C30" s="63" t="s">
        <v>49</v>
      </c>
      <c r="D30" s="63"/>
      <c r="E30" s="63">
        <v>1</v>
      </c>
      <c r="F30" s="63">
        <v>12.9</v>
      </c>
      <c r="G30" s="70">
        <f t="shared" si="0"/>
        <v>12.9</v>
      </c>
    </row>
    <row r="31" spans="1:7" x14ac:dyDescent="0.25">
      <c r="A31" s="56"/>
      <c r="B31" s="56"/>
      <c r="C31" s="63" t="s">
        <v>30</v>
      </c>
      <c r="D31" s="63"/>
      <c r="E31" s="63">
        <v>1</v>
      </c>
      <c r="F31" s="63">
        <v>18</v>
      </c>
      <c r="G31" s="70">
        <f t="shared" si="0"/>
        <v>18</v>
      </c>
    </row>
    <row r="32" spans="1:7" x14ac:dyDescent="0.25">
      <c r="A32" s="56"/>
      <c r="B32" s="56"/>
      <c r="C32" s="63" t="s">
        <v>84</v>
      </c>
      <c r="D32" s="63" t="s">
        <v>85</v>
      </c>
      <c r="E32" s="63">
        <v>1</v>
      </c>
      <c r="F32" s="63">
        <v>10</v>
      </c>
      <c r="G32" s="70">
        <f t="shared" si="0"/>
        <v>10</v>
      </c>
    </row>
    <row r="33" spans="1:7" ht="31.5" x14ac:dyDescent="0.25">
      <c r="A33" s="56"/>
      <c r="B33" s="56"/>
      <c r="C33" s="63" t="s">
        <v>86</v>
      </c>
      <c r="D33" s="63" t="s">
        <v>87</v>
      </c>
      <c r="E33" s="63">
        <v>1</v>
      </c>
      <c r="F33" s="63">
        <v>33.200000000000003</v>
      </c>
      <c r="G33" s="70">
        <f t="shared" si="0"/>
        <v>33.200000000000003</v>
      </c>
    </row>
    <row r="34" spans="1:7" x14ac:dyDescent="0.25">
      <c r="A34" s="56"/>
      <c r="B34" s="56"/>
      <c r="C34" s="63" t="s">
        <v>59</v>
      </c>
      <c r="D34" s="63" t="s">
        <v>88</v>
      </c>
      <c r="E34" s="63">
        <v>1</v>
      </c>
      <c r="F34" s="63">
        <v>15</v>
      </c>
      <c r="G34" s="70">
        <f t="shared" si="0"/>
        <v>15</v>
      </c>
    </row>
    <row r="35" spans="1:7" x14ac:dyDescent="0.25">
      <c r="A35" s="56"/>
      <c r="B35" s="56"/>
      <c r="C35" s="63" t="s">
        <v>89</v>
      </c>
      <c r="D35" s="63" t="s">
        <v>90</v>
      </c>
      <c r="E35" s="71">
        <f>2*3.14*0.175*0.225+1.266*0.5</f>
        <v>0.88027500000000003</v>
      </c>
      <c r="F35" s="63">
        <v>23.55</v>
      </c>
      <c r="G35" s="70">
        <f t="shared" si="0"/>
        <v>20.730476250000002</v>
      </c>
    </row>
    <row r="36" spans="1:7" x14ac:dyDescent="0.25">
      <c r="A36" s="56"/>
      <c r="B36" s="56"/>
      <c r="C36" s="63" t="s">
        <v>91</v>
      </c>
      <c r="D36" s="63" t="s">
        <v>92</v>
      </c>
      <c r="E36" s="63">
        <f>0.9*4+0.35*4</f>
        <v>5</v>
      </c>
      <c r="F36" s="63">
        <v>2.3199999999999998</v>
      </c>
      <c r="G36" s="70">
        <f>E36*F36</f>
        <v>11.6</v>
      </c>
    </row>
    <row r="37" spans="1:7" ht="31.5" x14ac:dyDescent="0.25">
      <c r="A37" s="56"/>
      <c r="B37" s="56"/>
      <c r="C37" s="63" t="s">
        <v>93</v>
      </c>
      <c r="D37" s="63" t="s">
        <v>94</v>
      </c>
      <c r="E37" s="63">
        <v>1</v>
      </c>
      <c r="F37" s="63">
        <v>6.7</v>
      </c>
      <c r="G37" s="70">
        <f t="shared" ref="G37" si="1">E37*F37</f>
        <v>6.7</v>
      </c>
    </row>
    <row r="38" spans="1:7" x14ac:dyDescent="0.25">
      <c r="A38" s="58"/>
      <c r="B38" s="59"/>
      <c r="C38" s="77" t="s">
        <v>95</v>
      </c>
      <c r="D38" s="71" t="s">
        <v>96</v>
      </c>
      <c r="E38" s="71">
        <f>2*3.14*0.175*0.5</f>
        <v>0.54949999999999999</v>
      </c>
      <c r="F38" s="71">
        <v>10.85</v>
      </c>
      <c r="G38" s="70">
        <f t="shared" si="0"/>
        <v>5.9620749999999996</v>
      </c>
    </row>
    <row r="39" spans="1:7" x14ac:dyDescent="0.25">
      <c r="A39" s="58"/>
      <c r="B39" s="59"/>
      <c r="C39" s="77" t="s">
        <v>97</v>
      </c>
      <c r="D39" s="71" t="s">
        <v>98</v>
      </c>
      <c r="E39" s="71">
        <v>12</v>
      </c>
      <c r="F39" s="71">
        <v>9</v>
      </c>
      <c r="G39" s="70">
        <f t="shared" si="0"/>
        <v>108</v>
      </c>
    </row>
    <row r="40" spans="1:7" x14ac:dyDescent="0.25">
      <c r="A40" s="58"/>
      <c r="B40" s="59"/>
      <c r="C40" s="77" t="s">
        <v>52</v>
      </c>
      <c r="D40" s="71"/>
      <c r="E40" s="71">
        <v>1</v>
      </c>
      <c r="F40" s="71">
        <v>23.5</v>
      </c>
      <c r="G40" s="70">
        <f t="shared" si="0"/>
        <v>23.5</v>
      </c>
    </row>
    <row r="41" spans="1:7" x14ac:dyDescent="0.25">
      <c r="A41" s="56"/>
      <c r="B41" s="56"/>
      <c r="C41" s="78" t="s">
        <v>45</v>
      </c>
      <c r="D41" s="63"/>
      <c r="E41" s="63"/>
      <c r="F41" s="63"/>
      <c r="G41" s="70"/>
    </row>
    <row r="42" spans="1:7" x14ac:dyDescent="0.25">
      <c r="A42" s="56"/>
      <c r="B42" s="56"/>
      <c r="C42" s="63" t="s">
        <v>21</v>
      </c>
      <c r="D42" s="63"/>
      <c r="E42" s="63">
        <f>12*2+0.6*4+1*4+0.8+2.3+0.5+5+2.8+1.5+0.5+2+1.6+0.8+3.1+3+2+6+2+1+1+1+1.5+0.6+2.3+1.2+0.5+1+1.5+1+1+1.6+1.9+2.1+1.2+5+0.5+0.5+1.9+1.2+1.5+1.5</f>
        <v>96.8</v>
      </c>
      <c r="F42" s="63">
        <v>4.62</v>
      </c>
      <c r="G42" s="70">
        <f t="shared" si="0"/>
        <v>447.21600000000001</v>
      </c>
    </row>
    <row r="43" spans="1:7" x14ac:dyDescent="0.25">
      <c r="A43" s="56"/>
      <c r="B43" s="56"/>
      <c r="C43" s="63" t="s">
        <v>22</v>
      </c>
      <c r="D43" s="63"/>
      <c r="E43" s="63">
        <f>9+1.5+1.6+4.5+1</f>
        <v>17.600000000000001</v>
      </c>
      <c r="F43" s="63">
        <v>9.3800000000000008</v>
      </c>
      <c r="G43" s="70">
        <f t="shared" si="0"/>
        <v>165.08800000000002</v>
      </c>
    </row>
    <row r="44" spans="1:7" x14ac:dyDescent="0.25">
      <c r="A44" s="56"/>
      <c r="B44" s="56"/>
      <c r="C44" s="63" t="s">
        <v>23</v>
      </c>
      <c r="D44" s="63"/>
      <c r="E44" s="63">
        <f>0.5*4+1.1+1.1+0.8+4.5+2.5+1.5+9+9+9+9+1.5*3+1.2*3+1.2+0.5+1.2+1+0.5+1+0.9+0.5</f>
        <v>64.400000000000006</v>
      </c>
      <c r="F44" s="63">
        <v>10.26</v>
      </c>
      <c r="G44" s="70">
        <f t="shared" si="0"/>
        <v>660.74400000000003</v>
      </c>
    </row>
    <row r="45" spans="1:7" x14ac:dyDescent="0.25">
      <c r="A45" s="56"/>
      <c r="B45" s="56"/>
      <c r="C45" s="63" t="s">
        <v>24</v>
      </c>
      <c r="D45" s="63"/>
      <c r="E45" s="63">
        <f>12+0.5+4.5+0.6+1.4+2.2+4.5+9+2+2.1+1.2+9</f>
        <v>49.000000000000007</v>
      </c>
      <c r="F45" s="63">
        <v>17.149999999999999</v>
      </c>
      <c r="G45" s="70">
        <f t="shared" si="0"/>
        <v>840.35</v>
      </c>
    </row>
    <row r="46" spans="1:7" x14ac:dyDescent="0.25">
      <c r="A46" s="56"/>
      <c r="B46" s="56"/>
      <c r="C46" s="63" t="s">
        <v>99</v>
      </c>
      <c r="D46" s="63"/>
      <c r="E46" s="63">
        <v>1.4</v>
      </c>
      <c r="F46" s="63">
        <v>52.28</v>
      </c>
      <c r="G46" s="70">
        <f t="shared" si="0"/>
        <v>73.191999999999993</v>
      </c>
    </row>
    <row r="47" spans="1:7" x14ac:dyDescent="0.25">
      <c r="A47" s="56"/>
      <c r="B47" s="56"/>
      <c r="C47" s="63" t="s">
        <v>25</v>
      </c>
      <c r="D47" s="63"/>
      <c r="E47" s="63">
        <f>3+1+1</f>
        <v>5</v>
      </c>
      <c r="F47" s="63">
        <v>12.8</v>
      </c>
      <c r="G47" s="70">
        <f t="shared" si="0"/>
        <v>64</v>
      </c>
    </row>
    <row r="48" spans="1:7" x14ac:dyDescent="0.25">
      <c r="A48" s="56"/>
      <c r="B48" s="56"/>
      <c r="C48" s="63" t="s">
        <v>48</v>
      </c>
      <c r="D48" s="63"/>
      <c r="E48" s="63">
        <f>1+1+2+1+2+1+1+1+2+3+1+1+1</f>
        <v>18</v>
      </c>
      <c r="F48" s="63">
        <v>8.5</v>
      </c>
      <c r="G48" s="70">
        <f t="shared" si="0"/>
        <v>153</v>
      </c>
    </row>
    <row r="49" spans="1:7" x14ac:dyDescent="0.25">
      <c r="A49" s="56"/>
      <c r="B49" s="56"/>
      <c r="C49" s="63" t="s">
        <v>49</v>
      </c>
      <c r="D49" s="63"/>
      <c r="E49" s="63">
        <f>4+3+3+1</f>
        <v>11</v>
      </c>
      <c r="F49" s="63">
        <v>12.9</v>
      </c>
      <c r="G49" s="70">
        <f t="shared" si="0"/>
        <v>141.9</v>
      </c>
    </row>
    <row r="50" spans="1:7" x14ac:dyDescent="0.25">
      <c r="A50" s="56"/>
      <c r="B50" s="56"/>
      <c r="C50" s="63" t="s">
        <v>51</v>
      </c>
      <c r="D50" s="63"/>
      <c r="E50" s="63">
        <f>4</f>
        <v>4</v>
      </c>
      <c r="F50" s="63">
        <v>27.4</v>
      </c>
      <c r="G50" s="70">
        <f t="shared" si="0"/>
        <v>109.6</v>
      </c>
    </row>
    <row r="51" spans="1:7" x14ac:dyDescent="0.25">
      <c r="A51" s="56"/>
      <c r="B51" s="56"/>
      <c r="C51" s="63" t="s">
        <v>66</v>
      </c>
      <c r="D51" s="63"/>
      <c r="E51" s="63">
        <f>4+1</f>
        <v>5</v>
      </c>
      <c r="F51" s="63">
        <v>9</v>
      </c>
      <c r="G51" s="70">
        <f t="shared" si="0"/>
        <v>45</v>
      </c>
    </row>
    <row r="52" spans="1:7" ht="31.5" x14ac:dyDescent="0.25">
      <c r="A52" s="58"/>
      <c r="B52" s="59"/>
      <c r="C52" s="63" t="s">
        <v>100</v>
      </c>
      <c r="D52" s="71"/>
      <c r="E52" s="71">
        <v>3</v>
      </c>
      <c r="F52" s="71">
        <v>20</v>
      </c>
      <c r="G52" s="70">
        <f>E52*F52</f>
        <v>60</v>
      </c>
    </row>
    <row r="53" spans="1:7" x14ac:dyDescent="0.25">
      <c r="A53" s="59"/>
      <c r="B53" s="79"/>
      <c r="C53" s="63" t="s">
        <v>101</v>
      </c>
      <c r="D53" s="71" t="s">
        <v>102</v>
      </c>
      <c r="E53" s="71">
        <f>(2*1.5+1.1*2)*2+1.5*1.1</f>
        <v>12.05</v>
      </c>
      <c r="F53" s="71">
        <v>23.55</v>
      </c>
      <c r="G53" s="70">
        <f t="shared" ref="G53:G57" si="2">E53*F53</f>
        <v>283.77750000000003</v>
      </c>
    </row>
    <row r="54" spans="1:7" ht="31.5" x14ac:dyDescent="0.25">
      <c r="A54" s="59"/>
      <c r="B54" s="79"/>
      <c r="C54" s="63" t="s">
        <v>103</v>
      </c>
      <c r="D54" s="63" t="s">
        <v>104</v>
      </c>
      <c r="E54" s="63">
        <f>0.6*0.6*1.3*3+0.5*0.85*0.55*2</f>
        <v>1.8714999999999999</v>
      </c>
      <c r="F54" s="71">
        <v>15.7</v>
      </c>
      <c r="G54" s="70">
        <f t="shared" si="2"/>
        <v>29.382549999999998</v>
      </c>
    </row>
    <row r="55" spans="1:7" x14ac:dyDescent="0.25">
      <c r="A55" s="59"/>
      <c r="B55" s="79"/>
      <c r="C55" s="63" t="s">
        <v>105</v>
      </c>
      <c r="D55" s="71"/>
      <c r="E55" s="71">
        <f>1+1</f>
        <v>2</v>
      </c>
      <c r="F55" s="71">
        <v>20</v>
      </c>
      <c r="G55" s="70">
        <f t="shared" si="2"/>
        <v>40</v>
      </c>
    </row>
    <row r="56" spans="1:7" x14ac:dyDescent="0.25">
      <c r="A56" s="59"/>
      <c r="B56" s="79"/>
      <c r="C56" s="63" t="s">
        <v>106</v>
      </c>
      <c r="D56" s="71" t="s">
        <v>107</v>
      </c>
      <c r="E56" s="71">
        <f>2*3.14*0.275*1.4</f>
        <v>2.4178000000000002</v>
      </c>
      <c r="F56" s="71">
        <v>23.55</v>
      </c>
      <c r="G56" s="70">
        <f t="shared" si="2"/>
        <v>56.939190000000004</v>
      </c>
    </row>
    <row r="57" spans="1:7" x14ac:dyDescent="0.25">
      <c r="A57" s="59"/>
      <c r="B57" s="79"/>
      <c r="C57" s="63" t="s">
        <v>108</v>
      </c>
      <c r="D57" s="71" t="s">
        <v>109</v>
      </c>
      <c r="E57" s="71">
        <f>0.9*2</f>
        <v>1.8</v>
      </c>
      <c r="F57" s="71">
        <v>23.55</v>
      </c>
      <c r="G57" s="70">
        <f t="shared" si="2"/>
        <v>42.39</v>
      </c>
    </row>
    <row r="58" spans="1:7" x14ac:dyDescent="0.25">
      <c r="A58" s="59"/>
      <c r="B58" s="79"/>
      <c r="C58" s="78" t="s">
        <v>110</v>
      </c>
      <c r="D58" s="71"/>
      <c r="E58" s="71"/>
      <c r="F58" s="71"/>
      <c r="G58" s="70"/>
    </row>
    <row r="59" spans="1:7" x14ac:dyDescent="0.25">
      <c r="A59" s="59"/>
      <c r="B59" s="79"/>
      <c r="C59" s="63" t="s">
        <v>21</v>
      </c>
      <c r="D59" s="63"/>
      <c r="E59" s="63">
        <f>3+2.2+2.2+1.2+1.3+0.5+0.5+0.5+0.5+0.5+4</f>
        <v>16.399999999999999</v>
      </c>
      <c r="F59" s="63">
        <v>4.62</v>
      </c>
      <c r="G59" s="70">
        <f t="shared" ref="G59:G72" si="3">E59*F59</f>
        <v>75.768000000000001</v>
      </c>
    </row>
    <row r="60" spans="1:7" x14ac:dyDescent="0.25">
      <c r="A60" s="59"/>
      <c r="B60" s="79"/>
      <c r="C60" s="63" t="s">
        <v>22</v>
      </c>
      <c r="D60" s="63"/>
      <c r="E60" s="63">
        <f>2.3*2</f>
        <v>4.5999999999999996</v>
      </c>
      <c r="F60" s="63">
        <v>7.34</v>
      </c>
      <c r="G60" s="70">
        <f t="shared" si="3"/>
        <v>33.763999999999996</v>
      </c>
    </row>
    <row r="61" spans="1:7" x14ac:dyDescent="0.25">
      <c r="A61" s="59"/>
      <c r="B61" s="79"/>
      <c r="C61" s="63" t="s">
        <v>23</v>
      </c>
      <c r="D61" s="63"/>
      <c r="E61" s="63">
        <f>1.1+1.3+1.5+2.4+2.7+3</f>
        <v>12</v>
      </c>
      <c r="F61" s="63">
        <v>10.26</v>
      </c>
      <c r="G61" s="70">
        <f t="shared" si="3"/>
        <v>123.12</v>
      </c>
    </row>
    <row r="62" spans="1:7" x14ac:dyDescent="0.25">
      <c r="A62" s="59"/>
      <c r="B62" s="79"/>
      <c r="C62" s="63" t="s">
        <v>24</v>
      </c>
      <c r="D62" s="63"/>
      <c r="E62" s="63">
        <f>1.7+0.7+2+1.7+2+1.9+2.2+1.9</f>
        <v>14.100000000000003</v>
      </c>
      <c r="F62" s="63">
        <v>17.149999999999999</v>
      </c>
      <c r="G62" s="70">
        <f t="shared" si="3"/>
        <v>241.81500000000003</v>
      </c>
    </row>
    <row r="63" spans="1:7" x14ac:dyDescent="0.25">
      <c r="A63" s="59"/>
      <c r="B63" s="79"/>
      <c r="C63" s="63" t="s">
        <v>99</v>
      </c>
      <c r="D63" s="63"/>
      <c r="E63" s="63">
        <v>1.1000000000000001</v>
      </c>
      <c r="F63" s="63">
        <v>52.58</v>
      </c>
      <c r="G63" s="70">
        <f t="shared" si="3"/>
        <v>57.838000000000001</v>
      </c>
    </row>
    <row r="64" spans="1:7" x14ac:dyDescent="0.25">
      <c r="A64" s="59"/>
      <c r="B64" s="79"/>
      <c r="C64" s="63" t="s">
        <v>25</v>
      </c>
      <c r="D64" s="63"/>
      <c r="E64" s="63">
        <v>1</v>
      </c>
      <c r="F64" s="63">
        <v>12.8</v>
      </c>
      <c r="G64" s="70">
        <f t="shared" si="3"/>
        <v>12.8</v>
      </c>
    </row>
    <row r="65" spans="1:7" ht="31.5" x14ac:dyDescent="0.25">
      <c r="A65" s="59"/>
      <c r="B65" s="79"/>
      <c r="C65" s="63" t="s">
        <v>111</v>
      </c>
      <c r="D65" s="63"/>
      <c r="E65" s="63">
        <v>1</v>
      </c>
      <c r="F65" s="63">
        <v>86</v>
      </c>
      <c r="G65" s="70">
        <f t="shared" si="3"/>
        <v>86</v>
      </c>
    </row>
    <row r="66" spans="1:7" x14ac:dyDescent="0.25">
      <c r="A66" s="59"/>
      <c r="B66" s="79"/>
      <c r="C66" s="63" t="s">
        <v>48</v>
      </c>
      <c r="D66" s="63"/>
      <c r="E66" s="63">
        <f>2+1</f>
        <v>3</v>
      </c>
      <c r="F66" s="63">
        <v>8.5</v>
      </c>
      <c r="G66" s="70">
        <f t="shared" si="3"/>
        <v>25.5</v>
      </c>
    </row>
    <row r="67" spans="1:7" x14ac:dyDescent="0.25">
      <c r="A67" s="59"/>
      <c r="B67" s="79"/>
      <c r="C67" s="63" t="s">
        <v>49</v>
      </c>
      <c r="D67" s="63"/>
      <c r="E67" s="63">
        <v>3</v>
      </c>
      <c r="F67" s="63">
        <v>20</v>
      </c>
      <c r="G67" s="70">
        <f t="shared" si="3"/>
        <v>60</v>
      </c>
    </row>
    <row r="68" spans="1:7" x14ac:dyDescent="0.25">
      <c r="A68" s="59"/>
      <c r="B68" s="79"/>
      <c r="C68" s="63" t="s">
        <v>51</v>
      </c>
      <c r="D68" s="63"/>
      <c r="E68" s="63">
        <f>1+1+2+1</f>
        <v>5</v>
      </c>
      <c r="F68" s="63">
        <v>27.4</v>
      </c>
      <c r="G68" s="70">
        <f t="shared" si="3"/>
        <v>137</v>
      </c>
    </row>
    <row r="69" spans="1:7" ht="21" x14ac:dyDescent="0.25">
      <c r="A69" s="80"/>
      <c r="B69" s="81"/>
      <c r="C69" s="63" t="s">
        <v>66</v>
      </c>
      <c r="D69" s="63"/>
      <c r="E69" s="63">
        <f>1+1</f>
        <v>2</v>
      </c>
      <c r="F69" s="63">
        <v>9</v>
      </c>
      <c r="G69" s="70">
        <f t="shared" si="3"/>
        <v>18</v>
      </c>
    </row>
    <row r="70" spans="1:7" ht="21" x14ac:dyDescent="0.25">
      <c r="A70" s="80"/>
      <c r="B70" s="81"/>
      <c r="C70" s="63" t="s">
        <v>112</v>
      </c>
      <c r="D70" s="63"/>
      <c r="E70" s="63">
        <f>1+1</f>
        <v>2</v>
      </c>
      <c r="F70" s="63">
        <v>45.5</v>
      </c>
      <c r="G70" s="70">
        <f t="shared" si="3"/>
        <v>91</v>
      </c>
    </row>
    <row r="71" spans="1:7" ht="21" x14ac:dyDescent="0.25">
      <c r="A71" s="80"/>
      <c r="B71" s="81"/>
      <c r="C71" s="63" t="s">
        <v>113</v>
      </c>
      <c r="D71" s="63"/>
      <c r="E71" s="63">
        <v>1</v>
      </c>
      <c r="F71" s="63">
        <v>57</v>
      </c>
      <c r="G71" s="70">
        <f t="shared" si="3"/>
        <v>57</v>
      </c>
    </row>
    <row r="72" spans="1:7" ht="21" x14ac:dyDescent="0.25">
      <c r="A72" s="80"/>
      <c r="B72" s="81"/>
      <c r="C72" s="63" t="s">
        <v>114</v>
      </c>
      <c r="D72" s="63"/>
      <c r="E72" s="63">
        <v>1</v>
      </c>
      <c r="F72" s="63">
        <v>8</v>
      </c>
      <c r="G72" s="70">
        <f t="shared" si="3"/>
        <v>8</v>
      </c>
    </row>
    <row r="73" spans="1:7" x14ac:dyDescent="0.25">
      <c r="A73" s="58"/>
      <c r="B73" s="87"/>
      <c r="C73" s="71"/>
      <c r="D73" s="71"/>
      <c r="E73" s="71"/>
      <c r="F73" s="71"/>
      <c r="G73" s="70"/>
    </row>
    <row r="74" spans="1:7" x14ac:dyDescent="0.25">
      <c r="A74" s="58"/>
      <c r="B74" s="87"/>
      <c r="C74" s="71"/>
      <c r="D74" s="71"/>
      <c r="E74" s="71"/>
      <c r="F74" s="71"/>
      <c r="G74" s="70"/>
    </row>
    <row r="75" spans="1:7" x14ac:dyDescent="0.25">
      <c r="A75" s="58"/>
      <c r="B75" s="87"/>
      <c r="C75" s="71"/>
      <c r="D75" s="71"/>
      <c r="E75" s="71"/>
      <c r="F75" s="71"/>
      <c r="G75" s="70"/>
    </row>
    <row r="76" spans="1:7" x14ac:dyDescent="0.25">
      <c r="A76" s="58"/>
      <c r="B76" s="87"/>
      <c r="C76" s="88"/>
      <c r="D76" s="88"/>
      <c r="E76" s="88"/>
      <c r="F76" s="88"/>
      <c r="G76" s="70"/>
    </row>
    <row r="77" spans="1:7" ht="20.25" customHeight="1" x14ac:dyDescent="0.25">
      <c r="A77" s="58"/>
      <c r="B77" s="87"/>
      <c r="C77" s="71"/>
      <c r="D77" s="71"/>
      <c r="E77" s="71"/>
      <c r="F77" s="71"/>
      <c r="G77" s="70"/>
    </row>
    <row r="78" spans="1:7" ht="20.25" customHeight="1" x14ac:dyDescent="0.25">
      <c r="A78" s="58"/>
      <c r="B78" s="87"/>
      <c r="C78" s="71"/>
      <c r="D78" s="71"/>
      <c r="E78" s="71"/>
      <c r="F78" s="71"/>
      <c r="G78" s="70"/>
    </row>
    <row r="79" spans="1:7" ht="20.25" customHeight="1" x14ac:dyDescent="0.25">
      <c r="A79" s="58"/>
      <c r="B79" s="87"/>
      <c r="C79" s="71"/>
      <c r="D79" s="71"/>
      <c r="E79" s="71"/>
      <c r="F79" s="71"/>
      <c r="G79" s="70"/>
    </row>
    <row r="80" spans="1:7" ht="20.25" customHeight="1" x14ac:dyDescent="0.25">
      <c r="A80" s="58"/>
      <c r="B80" s="87"/>
      <c r="C80" s="71"/>
      <c r="D80" s="71"/>
      <c r="E80" s="71"/>
      <c r="F80" s="71"/>
      <c r="G80" s="70"/>
    </row>
    <row r="81" spans="1:7" ht="20.25" customHeight="1" x14ac:dyDescent="0.25">
      <c r="A81" s="58"/>
      <c r="B81" s="87"/>
      <c r="C81" s="71"/>
      <c r="D81" s="71"/>
      <c r="E81" s="71"/>
      <c r="F81" s="71"/>
      <c r="G81" s="70"/>
    </row>
    <row r="82" spans="1:7" x14ac:dyDescent="0.25">
      <c r="A82" s="89"/>
      <c r="B82" s="87"/>
      <c r="C82" s="71"/>
      <c r="D82" s="71"/>
      <c r="E82" s="71"/>
      <c r="F82" s="71"/>
      <c r="G82" s="70"/>
    </row>
    <row r="83" spans="1:7" x14ac:dyDescent="0.25">
      <c r="A83" s="89"/>
      <c r="B83" s="87"/>
      <c r="C83" s="71"/>
      <c r="D83" s="71"/>
      <c r="E83" s="71"/>
      <c r="F83" s="71"/>
      <c r="G83" s="70"/>
    </row>
    <row r="84" spans="1:7" x14ac:dyDescent="0.25">
      <c r="A84" s="89"/>
      <c r="B84" s="87"/>
      <c r="C84" s="71"/>
      <c r="D84" s="71"/>
      <c r="E84" s="71"/>
      <c r="F84" s="71"/>
      <c r="G84" s="70"/>
    </row>
    <row r="85" spans="1:7" x14ac:dyDescent="0.25">
      <c r="A85" s="58"/>
      <c r="B85" s="87"/>
      <c r="C85" s="71"/>
      <c r="D85" s="71"/>
      <c r="E85" s="71"/>
      <c r="F85" s="71"/>
      <c r="G85" s="70"/>
    </row>
    <row r="86" spans="1:7" x14ac:dyDescent="0.25">
      <c r="A86" s="58"/>
      <c r="B86" s="87"/>
      <c r="C86" s="71"/>
      <c r="D86" s="71"/>
      <c r="E86" s="71"/>
      <c r="F86" s="71"/>
      <c r="G86" s="70"/>
    </row>
    <row r="87" spans="1:7" x14ac:dyDescent="0.25">
      <c r="A87" s="58"/>
      <c r="B87" s="87"/>
      <c r="C87" s="71"/>
      <c r="D87" s="71"/>
      <c r="E87" s="71"/>
      <c r="F87" s="71"/>
      <c r="G87" s="70"/>
    </row>
    <row r="88" spans="1:7" x14ac:dyDescent="0.25">
      <c r="A88" s="58"/>
      <c r="B88" s="87"/>
      <c r="C88" s="71"/>
      <c r="D88" s="71"/>
      <c r="E88" s="71"/>
      <c r="F88" s="71"/>
      <c r="G88" s="70"/>
    </row>
    <row r="89" spans="1:7" x14ac:dyDescent="0.25">
      <c r="A89" s="58"/>
      <c r="B89" s="87"/>
      <c r="C89" s="71"/>
      <c r="D89" s="71"/>
      <c r="E89" s="71"/>
      <c r="F89" s="71"/>
      <c r="G89" s="70"/>
    </row>
    <row r="90" spans="1:7" ht="28.5" customHeight="1" x14ac:dyDescent="0.25">
      <c r="A90" s="58"/>
      <c r="B90" s="87"/>
      <c r="C90" s="63"/>
      <c r="D90" s="63"/>
      <c r="E90" s="63"/>
      <c r="F90" s="63"/>
      <c r="G90" s="63"/>
    </row>
    <row r="91" spans="1:7" x14ac:dyDescent="0.25">
      <c r="A91" s="58"/>
      <c r="B91" s="87"/>
      <c r="C91" s="71"/>
      <c r="D91" s="71"/>
      <c r="E91" s="71"/>
      <c r="F91" s="71"/>
      <c r="G91" s="70"/>
    </row>
    <row r="92" spans="1:7" x14ac:dyDescent="0.25">
      <c r="A92" s="58"/>
      <c r="B92" s="87"/>
      <c r="C92" s="71"/>
      <c r="D92" s="71"/>
      <c r="E92" s="71"/>
      <c r="F92" s="71"/>
      <c r="G92" s="70"/>
    </row>
    <row r="93" spans="1:7" x14ac:dyDescent="0.25">
      <c r="A93" s="58"/>
      <c r="B93" s="87"/>
      <c r="C93" s="71"/>
      <c r="D93" s="71"/>
      <c r="E93" s="71"/>
      <c r="F93" s="71"/>
      <c r="G93" s="70"/>
    </row>
    <row r="94" spans="1:7" x14ac:dyDescent="0.25">
      <c r="A94" s="58"/>
      <c r="B94" s="87"/>
      <c r="C94" s="71"/>
      <c r="D94" s="71"/>
      <c r="E94" s="71"/>
      <c r="F94" s="71"/>
      <c r="G94" s="70"/>
    </row>
    <row r="95" spans="1:7" x14ac:dyDescent="0.25">
      <c r="A95" s="58"/>
      <c r="B95" s="87"/>
      <c r="C95" s="71"/>
      <c r="D95" s="71"/>
      <c r="E95" s="71"/>
      <c r="F95" s="71"/>
      <c r="G95" s="70"/>
    </row>
    <row r="96" spans="1:7" x14ac:dyDescent="0.25">
      <c r="A96" s="58"/>
      <c r="B96" s="87"/>
      <c r="C96" s="71"/>
      <c r="D96" s="71"/>
      <c r="E96" s="71"/>
      <c r="F96" s="71"/>
      <c r="G96" s="70"/>
    </row>
    <row r="97" spans="1:7" x14ac:dyDescent="0.25">
      <c r="A97" s="58"/>
      <c r="B97" s="87"/>
      <c r="C97" s="71"/>
      <c r="D97" s="71"/>
      <c r="E97" s="71"/>
      <c r="F97" s="71"/>
      <c r="G97" s="70"/>
    </row>
    <row r="98" spans="1:7" x14ac:dyDescent="0.25">
      <c r="A98" s="58"/>
      <c r="B98" s="87"/>
      <c r="C98" s="71"/>
      <c r="D98" s="71"/>
      <c r="E98" s="71"/>
      <c r="F98" s="71"/>
      <c r="G98" s="70"/>
    </row>
    <row r="99" spans="1:7" x14ac:dyDescent="0.25">
      <c r="A99" s="58"/>
      <c r="B99" s="87"/>
      <c r="C99" s="71"/>
      <c r="D99" s="71"/>
      <c r="E99" s="71"/>
      <c r="F99" s="71"/>
      <c r="G99" s="70"/>
    </row>
    <row r="100" spans="1:7" ht="16.5" customHeight="1" x14ac:dyDescent="0.25">
      <c r="A100" s="58"/>
      <c r="B100" s="87"/>
      <c r="C100" s="88"/>
      <c r="D100" s="88"/>
      <c r="E100" s="88"/>
      <c r="F100" s="88"/>
      <c r="G100" s="70"/>
    </row>
    <row r="101" spans="1:7" x14ac:dyDescent="0.25">
      <c r="A101" s="58"/>
      <c r="B101" s="87"/>
      <c r="C101" s="71"/>
      <c r="D101" s="71"/>
      <c r="E101" s="71"/>
      <c r="F101" s="71"/>
      <c r="G101" s="70"/>
    </row>
    <row r="102" spans="1:7" x14ac:dyDescent="0.25">
      <c r="A102" s="58"/>
      <c r="B102" s="87"/>
      <c r="C102" s="71"/>
      <c r="D102" s="71"/>
      <c r="E102" s="71"/>
      <c r="F102" s="71"/>
      <c r="G102" s="70"/>
    </row>
    <row r="103" spans="1:7" x14ac:dyDescent="0.25">
      <c r="A103" s="58"/>
      <c r="B103" s="87"/>
      <c r="C103" s="71"/>
      <c r="D103" s="71"/>
      <c r="E103" s="71"/>
      <c r="F103" s="71"/>
      <c r="G103" s="70"/>
    </row>
    <row r="104" spans="1:7" x14ac:dyDescent="0.25">
      <c r="A104" s="58"/>
      <c r="B104" s="87"/>
      <c r="C104" s="71"/>
      <c r="D104" s="71"/>
      <c r="E104" s="71"/>
      <c r="F104" s="71"/>
      <c r="G104" s="70"/>
    </row>
    <row r="105" spans="1:7" x14ac:dyDescent="0.25">
      <c r="A105" s="58"/>
      <c r="B105" s="87"/>
      <c r="C105" s="71"/>
      <c r="D105" s="71"/>
      <c r="E105" s="71"/>
      <c r="F105" s="71"/>
      <c r="G105" s="70"/>
    </row>
    <row r="106" spans="1:7" x14ac:dyDescent="0.25">
      <c r="A106" s="58"/>
      <c r="B106" s="87"/>
      <c r="C106" s="71"/>
      <c r="D106" s="71"/>
      <c r="E106" s="71"/>
      <c r="F106" s="71"/>
      <c r="G106" s="70"/>
    </row>
    <row r="107" spans="1:7" x14ac:dyDescent="0.25">
      <c r="A107" s="58"/>
      <c r="B107" s="87"/>
      <c r="C107" s="71"/>
      <c r="D107" s="71"/>
      <c r="E107" s="71"/>
      <c r="F107" s="71"/>
      <c r="G107" s="70"/>
    </row>
    <row r="108" spans="1:7" s="90" customFormat="1" x14ac:dyDescent="0.25">
      <c r="A108" s="58"/>
      <c r="B108" s="59"/>
      <c r="C108" s="71"/>
      <c r="D108" s="71"/>
      <c r="E108" s="71"/>
      <c r="F108" s="71"/>
      <c r="G108" s="70"/>
    </row>
    <row r="109" spans="1:7" s="90" customFormat="1" x14ac:dyDescent="0.25">
      <c r="A109" s="58"/>
      <c r="B109" s="59"/>
      <c r="C109" s="71"/>
      <c r="D109" s="71"/>
      <c r="E109" s="71"/>
      <c r="F109" s="71"/>
      <c r="G109" s="70"/>
    </row>
    <row r="110" spans="1:7" x14ac:dyDescent="0.25">
      <c r="A110" s="58"/>
      <c r="B110" s="87"/>
      <c r="C110" s="71"/>
      <c r="D110" s="71"/>
      <c r="E110" s="71"/>
      <c r="F110" s="71"/>
      <c r="G110" s="70"/>
    </row>
    <row r="111" spans="1:7" x14ac:dyDescent="0.25">
      <c r="A111" s="58"/>
      <c r="B111" s="87"/>
      <c r="C111" s="63"/>
      <c r="D111" s="63"/>
      <c r="E111" s="63"/>
      <c r="F111" s="63"/>
      <c r="G111" s="70"/>
    </row>
    <row r="112" spans="1:7" x14ac:dyDescent="0.25">
      <c r="A112" s="58"/>
      <c r="B112" s="87"/>
      <c r="C112" s="88"/>
      <c r="D112" s="88"/>
      <c r="E112" s="88"/>
      <c r="F112" s="88"/>
      <c r="G112" s="70"/>
    </row>
    <row r="113" spans="1:7" x14ac:dyDescent="0.25">
      <c r="A113" s="58"/>
      <c r="B113" s="87"/>
      <c r="C113" s="71"/>
      <c r="D113" s="71"/>
      <c r="E113" s="71"/>
      <c r="F113" s="71"/>
      <c r="G113" s="70"/>
    </row>
    <row r="114" spans="1:7" x14ac:dyDescent="0.25">
      <c r="A114" s="58"/>
      <c r="B114" s="87"/>
      <c r="C114" s="71"/>
      <c r="D114" s="71"/>
      <c r="E114" s="71"/>
      <c r="F114" s="71"/>
      <c r="G114" s="70"/>
    </row>
    <row r="115" spans="1:7" x14ac:dyDescent="0.25">
      <c r="A115" s="58"/>
      <c r="B115" s="87"/>
      <c r="C115" s="71"/>
      <c r="D115" s="71"/>
      <c r="E115" s="71"/>
      <c r="F115" s="71"/>
      <c r="G115" s="70"/>
    </row>
    <row r="116" spans="1:7" x14ac:dyDescent="0.25">
      <c r="A116" s="58"/>
      <c r="B116" s="87"/>
      <c r="C116" s="71"/>
      <c r="D116" s="71"/>
      <c r="E116" s="71"/>
      <c r="F116" s="71"/>
      <c r="G116" s="70"/>
    </row>
    <row r="117" spans="1:7" x14ac:dyDescent="0.25">
      <c r="A117" s="58"/>
      <c r="B117" s="87"/>
      <c r="C117" s="71"/>
      <c r="D117" s="71"/>
      <c r="E117" s="71"/>
      <c r="F117" s="71"/>
      <c r="G117" s="70"/>
    </row>
    <row r="118" spans="1:7" x14ac:dyDescent="0.25">
      <c r="A118" s="58"/>
      <c r="B118" s="87"/>
      <c r="C118" s="71"/>
      <c r="D118" s="71"/>
      <c r="E118" s="71"/>
      <c r="F118" s="71"/>
      <c r="G118" s="70"/>
    </row>
    <row r="119" spans="1:7" s="90" customFormat="1" ht="17.25" customHeight="1" x14ac:dyDescent="0.25">
      <c r="A119" s="58"/>
      <c r="B119" s="59"/>
      <c r="C119" s="71"/>
      <c r="D119" s="71"/>
      <c r="E119" s="71"/>
      <c r="F119" s="71"/>
      <c r="G119" s="70"/>
    </row>
    <row r="120" spans="1:7" s="90" customFormat="1" x14ac:dyDescent="0.25">
      <c r="A120" s="58"/>
      <c r="B120" s="59"/>
      <c r="C120" s="71"/>
      <c r="D120" s="71"/>
      <c r="E120" s="71"/>
      <c r="F120" s="71"/>
      <c r="G120" s="70"/>
    </row>
    <row r="121" spans="1:7" x14ac:dyDescent="0.25">
      <c r="A121" s="89"/>
      <c r="B121" s="87"/>
      <c r="C121" s="71"/>
      <c r="D121" s="71"/>
      <c r="E121" s="71"/>
      <c r="F121" s="71"/>
      <c r="G121" s="70"/>
    </row>
    <row r="122" spans="1:7" x14ac:dyDescent="0.25">
      <c r="A122" s="89"/>
      <c r="B122" s="87"/>
      <c r="C122" s="71"/>
      <c r="D122" s="71"/>
      <c r="E122" s="71"/>
      <c r="F122" s="71"/>
      <c r="G122" s="70"/>
    </row>
    <row r="123" spans="1:7" x14ac:dyDescent="0.25">
      <c r="A123" s="89"/>
      <c r="B123" s="87"/>
      <c r="C123" s="71"/>
      <c r="D123" s="71"/>
      <c r="E123" s="71"/>
      <c r="F123" s="71"/>
      <c r="G123" s="70"/>
    </row>
    <row r="124" spans="1:7" s="90" customFormat="1" ht="21" customHeight="1" x14ac:dyDescent="0.25">
      <c r="A124" s="58"/>
      <c r="B124" s="58"/>
      <c r="C124" s="71"/>
      <c r="D124" s="71"/>
      <c r="E124" s="71"/>
      <c r="F124" s="71"/>
      <c r="G124" s="70"/>
    </row>
    <row r="125" spans="1:7" s="90" customFormat="1" x14ac:dyDescent="0.25">
      <c r="A125" s="58"/>
      <c r="B125" s="58"/>
      <c r="C125" s="71"/>
      <c r="D125" s="71"/>
      <c r="E125" s="71"/>
      <c r="F125" s="71"/>
      <c r="G125" s="70"/>
    </row>
    <row r="126" spans="1:7" x14ac:dyDescent="0.25">
      <c r="A126" s="58"/>
      <c r="B126" s="58"/>
      <c r="C126" s="88"/>
      <c r="D126" s="88"/>
      <c r="E126" s="88"/>
      <c r="F126" s="88"/>
      <c r="G126" s="70"/>
    </row>
    <row r="127" spans="1:7" x14ac:dyDescent="0.25">
      <c r="A127" s="58"/>
      <c r="B127" s="58"/>
      <c r="C127" s="71"/>
      <c r="D127" s="71"/>
      <c r="E127" s="71"/>
      <c r="F127" s="71"/>
      <c r="G127" s="70"/>
    </row>
    <row r="128" spans="1:7" x14ac:dyDescent="0.25">
      <c r="A128" s="58"/>
      <c r="B128" s="58"/>
      <c r="C128" s="71"/>
      <c r="D128" s="71"/>
      <c r="E128" s="71"/>
      <c r="F128" s="71"/>
      <c r="G128" s="70"/>
    </row>
    <row r="129" spans="1:7" x14ac:dyDescent="0.25">
      <c r="A129" s="58"/>
      <c r="B129" s="58"/>
      <c r="C129" s="71"/>
      <c r="D129" s="71"/>
      <c r="E129" s="71"/>
      <c r="F129" s="71"/>
      <c r="G129" s="70"/>
    </row>
    <row r="130" spans="1:7" x14ac:dyDescent="0.25">
      <c r="A130" s="58"/>
      <c r="B130" s="58"/>
      <c r="C130" s="71"/>
      <c r="D130" s="71"/>
      <c r="E130" s="71"/>
      <c r="F130" s="71"/>
      <c r="G130" s="70"/>
    </row>
    <row r="131" spans="1:7" s="92" customFormat="1" ht="21" x14ac:dyDescent="0.25">
      <c r="A131" s="83"/>
      <c r="B131" s="83"/>
      <c r="C131" s="82"/>
      <c r="D131" s="82"/>
      <c r="E131" s="82"/>
      <c r="F131" s="83"/>
      <c r="G131" s="84"/>
    </row>
    <row r="132" spans="1:7" ht="26.25" x14ac:dyDescent="0.25">
      <c r="A132" s="58"/>
      <c r="B132" s="58"/>
      <c r="C132" s="71"/>
      <c r="D132" s="71"/>
      <c r="E132" s="71"/>
      <c r="F132" s="85"/>
      <c r="G132" s="86"/>
    </row>
    <row r="133" spans="1:7" ht="23.25" x14ac:dyDescent="0.25">
      <c r="A133" s="58"/>
      <c r="B133" s="58"/>
      <c r="C133" s="71"/>
      <c r="D133" s="93"/>
      <c r="E133" s="71"/>
      <c r="F133" s="71"/>
      <c r="G133" s="94"/>
    </row>
    <row r="134" spans="1:7" x14ac:dyDescent="0.25">
      <c r="A134" s="58"/>
      <c r="B134" s="59"/>
      <c r="C134" s="60"/>
      <c r="D134" s="61"/>
      <c r="E134" s="61"/>
      <c r="F134" s="61"/>
      <c r="G134" s="62"/>
    </row>
    <row r="135" spans="1:7" x14ac:dyDescent="0.25">
      <c r="A135" s="56"/>
      <c r="B135" s="56"/>
      <c r="C135" s="63"/>
      <c r="D135" s="63"/>
      <c r="E135" s="63"/>
      <c r="F135" s="63"/>
      <c r="G135" s="64"/>
    </row>
    <row r="136" spans="1:7" x14ac:dyDescent="0.25">
      <c r="A136" s="56"/>
      <c r="B136" s="56"/>
      <c r="C136" s="63"/>
      <c r="D136" s="63"/>
      <c r="E136" s="63"/>
      <c r="F136" s="63"/>
      <c r="G136" s="64"/>
    </row>
    <row r="137" spans="1:7" x14ac:dyDescent="0.25">
      <c r="A137" s="56"/>
      <c r="B137" s="56"/>
      <c r="C137" s="63"/>
      <c r="D137" s="63"/>
      <c r="E137" s="63"/>
      <c r="F137" s="63"/>
      <c r="G137" s="64"/>
    </row>
    <row r="138" spans="1:7" x14ac:dyDescent="0.25">
      <c r="A138" s="56"/>
      <c r="B138" s="56"/>
      <c r="C138" s="63"/>
      <c r="D138" s="63"/>
      <c r="E138" s="63"/>
      <c r="F138" s="63"/>
      <c r="G138" s="64"/>
    </row>
    <row r="139" spans="1:7" x14ac:dyDescent="0.25">
      <c r="A139" s="56"/>
      <c r="B139" s="56"/>
      <c r="C139" s="63"/>
      <c r="D139" s="95"/>
      <c r="E139" s="95"/>
      <c r="F139" s="95"/>
      <c r="G139" s="64"/>
    </row>
    <row r="140" spans="1:7" x14ac:dyDescent="0.25">
      <c r="A140" s="56"/>
      <c r="B140" s="56"/>
      <c r="C140" s="63"/>
      <c r="D140" s="63"/>
      <c r="E140" s="63"/>
      <c r="F140" s="63"/>
      <c r="G140" s="64"/>
    </row>
    <row r="141" spans="1:7" x14ac:dyDescent="0.25">
      <c r="A141" s="56"/>
      <c r="B141" s="56"/>
      <c r="C141" s="63"/>
      <c r="D141" s="63"/>
      <c r="E141" s="63"/>
      <c r="F141" s="63"/>
      <c r="G141" s="64"/>
    </row>
    <row r="142" spans="1:7" x14ac:dyDescent="0.25">
      <c r="A142" s="56"/>
      <c r="B142" s="56"/>
      <c r="C142" s="63"/>
      <c r="D142" s="63"/>
      <c r="E142" s="63"/>
      <c r="F142" s="63"/>
      <c r="G142" s="64"/>
    </row>
    <row r="143" spans="1:7" x14ac:dyDescent="0.25">
      <c r="A143" s="56"/>
      <c r="B143" s="56"/>
      <c r="C143" s="63"/>
      <c r="D143" s="63"/>
      <c r="E143" s="63"/>
      <c r="F143" s="63"/>
      <c r="G143" s="64"/>
    </row>
    <row r="144" spans="1:7" x14ac:dyDescent="0.25">
      <c r="A144" s="56"/>
      <c r="B144" s="56"/>
      <c r="C144" s="63"/>
      <c r="D144" s="63"/>
      <c r="E144" s="63"/>
      <c r="F144" s="63"/>
      <c r="G144" s="64"/>
    </row>
    <row r="145" spans="1:7" x14ac:dyDescent="0.25">
      <c r="A145" s="56"/>
      <c r="B145" s="56"/>
      <c r="C145" s="63"/>
      <c r="D145" s="63"/>
      <c r="E145" s="63"/>
      <c r="F145" s="63"/>
      <c r="G145" s="64"/>
    </row>
    <row r="146" spans="1:7" x14ac:dyDescent="0.25">
      <c r="A146" s="56"/>
      <c r="B146" s="56"/>
      <c r="C146" s="63"/>
      <c r="D146" s="95"/>
      <c r="E146" s="95"/>
      <c r="F146" s="95"/>
      <c r="G146" s="57"/>
    </row>
    <row r="147" spans="1:7" x14ac:dyDescent="0.25">
      <c r="A147" s="56"/>
      <c r="B147" s="56"/>
      <c r="C147" s="63"/>
      <c r="D147" s="95"/>
      <c r="E147" s="95"/>
      <c r="F147" s="95"/>
      <c r="G147" s="57"/>
    </row>
    <row r="148" spans="1:7" x14ac:dyDescent="0.25">
      <c r="A148" s="56"/>
      <c r="B148" s="56"/>
      <c r="C148" s="63"/>
      <c r="D148" s="63"/>
      <c r="E148" s="63"/>
      <c r="F148" s="63"/>
      <c r="G148" s="57"/>
    </row>
    <row r="149" spans="1:7" x14ac:dyDescent="0.25">
      <c r="A149" s="56"/>
      <c r="B149" s="56"/>
      <c r="C149" s="63"/>
      <c r="D149" s="63"/>
      <c r="E149" s="63"/>
      <c r="F149" s="63"/>
      <c r="G149" s="57"/>
    </row>
    <row r="150" spans="1:7" x14ac:dyDescent="0.25">
      <c r="A150" s="56"/>
      <c r="B150" s="56"/>
      <c r="C150" s="63"/>
      <c r="D150" s="63"/>
      <c r="E150" s="63"/>
      <c r="F150" s="63"/>
      <c r="G150" s="57"/>
    </row>
    <row r="151" spans="1:7" x14ac:dyDescent="0.25">
      <c r="A151" s="56"/>
      <c r="B151" s="56"/>
      <c r="C151" s="63"/>
      <c r="D151" s="63"/>
      <c r="E151" s="63"/>
      <c r="F151" s="63"/>
      <c r="G151" s="57"/>
    </row>
    <row r="152" spans="1:7" x14ac:dyDescent="0.25">
      <c r="A152" s="58"/>
      <c r="B152" s="59"/>
      <c r="C152" s="65"/>
      <c r="D152" s="66"/>
      <c r="E152" s="67"/>
      <c r="F152" s="67"/>
      <c r="G152" s="68"/>
    </row>
    <row r="153" spans="1:7" x14ac:dyDescent="0.25">
      <c r="A153" s="58"/>
      <c r="B153" s="59"/>
      <c r="C153" s="65"/>
      <c r="D153" s="66"/>
      <c r="E153" s="67"/>
      <c r="F153" s="67"/>
      <c r="G153" s="68"/>
    </row>
    <row r="154" spans="1:7" ht="11.25" customHeight="1" x14ac:dyDescent="0.25"/>
    <row r="155" spans="1:7" hidden="1" x14ac:dyDescent="0.25">
      <c r="D155" s="96" t="s">
        <v>115</v>
      </c>
    </row>
    <row r="156" spans="1:7" ht="9.75" hidden="1" customHeight="1" x14ac:dyDescent="0.25"/>
    <row r="157" spans="1:7" ht="6.75" hidden="1" customHeight="1" x14ac:dyDescent="0.25"/>
    <row r="158" spans="1:7" s="97" customFormat="1" ht="12.75" hidden="1" customHeight="1" x14ac:dyDescent="0.25">
      <c r="A158" s="53"/>
      <c r="B158" s="53"/>
      <c r="C158" s="96"/>
      <c r="D158" s="96" t="s">
        <v>116</v>
      </c>
      <c r="E158" s="96"/>
      <c r="F158" s="96"/>
    </row>
    <row r="159" spans="1:7" s="97" customFormat="1" hidden="1" x14ac:dyDescent="0.25">
      <c r="A159" s="53"/>
      <c r="B159" s="53"/>
      <c r="C159" s="96"/>
      <c r="D159" s="96" t="s">
        <v>117</v>
      </c>
      <c r="E159" s="96"/>
      <c r="F159" s="96"/>
    </row>
  </sheetData>
  <autoFilter ref="A3:G153" xr:uid="{00000000-0009-0000-0000-000003000000}"/>
  <mergeCells count="5">
    <mergeCell ref="A1:G1"/>
    <mergeCell ref="C2:G2"/>
    <mergeCell ref="C17:D17"/>
    <mergeCell ref="C152:D152"/>
    <mergeCell ref="C153:D153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3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52548-0898-4078-A2E1-68F6AACBFD96}">
  <sheetPr>
    <pageSetUpPr fitToPage="1"/>
  </sheetPr>
  <dimension ref="A1:G135"/>
  <sheetViews>
    <sheetView view="pageBreakPreview" zoomScale="90" zoomScaleNormal="85" zoomScaleSheetLayoutView="90" workbookViewId="0">
      <pane xSplit="4" ySplit="3" topLeftCell="E4" activePane="bottomRight" state="frozen"/>
      <selection activeCell="G9" sqref="G9"/>
      <selection pane="topRight" activeCell="G9" sqref="G9"/>
      <selection pane="bottomLeft" activeCell="G9" sqref="G9"/>
      <selection pane="bottomRight" activeCell="C4" sqref="C4"/>
    </sheetView>
  </sheetViews>
  <sheetFormatPr defaultRowHeight="15.75" x14ac:dyDescent="0.25"/>
  <cols>
    <col min="1" max="2" width="5.28515625" style="53" customWidth="1"/>
    <col min="3" max="3" width="31.28515625" style="96" customWidth="1"/>
    <col min="4" max="4" width="29.28515625" style="96" customWidth="1"/>
    <col min="5" max="5" width="16.140625" style="98" customWidth="1"/>
    <col min="6" max="6" width="16.140625" style="96" customWidth="1"/>
    <col min="7" max="7" width="16.85546875" style="97" bestFit="1" customWidth="1"/>
    <col min="8" max="16384" width="9.140625" style="53"/>
  </cols>
  <sheetData>
    <row r="1" spans="1:7" ht="40.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19.5" customHeight="1" x14ac:dyDescent="0.25">
      <c r="A2" s="54"/>
      <c r="B2" s="54"/>
      <c r="C2" s="55"/>
      <c r="D2" s="55"/>
      <c r="E2" s="55"/>
      <c r="F2" s="55"/>
      <c r="G2" s="55"/>
    </row>
    <row r="3" spans="1:7" ht="47.25" x14ac:dyDescent="0.25">
      <c r="A3" s="56" t="s">
        <v>0</v>
      </c>
      <c r="B3" s="56"/>
      <c r="C3" s="56" t="s">
        <v>1</v>
      </c>
      <c r="D3" s="56" t="s">
        <v>2</v>
      </c>
      <c r="E3" s="56" t="s">
        <v>3</v>
      </c>
      <c r="F3" s="56" t="s">
        <v>4</v>
      </c>
      <c r="G3" s="57" t="s">
        <v>5</v>
      </c>
    </row>
    <row r="4" spans="1:7" x14ac:dyDescent="0.25">
      <c r="A4" s="58"/>
      <c r="B4" s="59"/>
      <c r="C4" s="60" t="s">
        <v>282</v>
      </c>
      <c r="D4" s="61"/>
      <c r="E4" s="100"/>
      <c r="F4" s="61"/>
      <c r="G4" s="62"/>
    </row>
    <row r="5" spans="1:7" x14ac:dyDescent="0.25">
      <c r="A5" s="56">
        <v>25</v>
      </c>
      <c r="B5" s="56"/>
      <c r="C5" s="63" t="s">
        <v>11</v>
      </c>
      <c r="D5" s="63" t="s">
        <v>118</v>
      </c>
      <c r="E5" s="56"/>
      <c r="F5" s="63"/>
      <c r="G5" s="64">
        <f>32*120+50</f>
        <v>3890</v>
      </c>
    </row>
    <row r="6" spans="1:7" x14ac:dyDescent="0.25">
      <c r="A6" s="56">
        <f t="shared" ref="A6:A15" si="0">A5+1</f>
        <v>26</v>
      </c>
      <c r="B6" s="56"/>
      <c r="C6" s="63" t="s">
        <v>11</v>
      </c>
      <c r="D6" s="63" t="s">
        <v>118</v>
      </c>
      <c r="E6" s="56"/>
      <c r="F6" s="63"/>
      <c r="G6" s="64">
        <f>32*120+50</f>
        <v>3890</v>
      </c>
    </row>
    <row r="7" spans="1:7" x14ac:dyDescent="0.25">
      <c r="A7" s="56">
        <f t="shared" si="0"/>
        <v>27</v>
      </c>
      <c r="B7" s="56"/>
      <c r="C7" s="63" t="s">
        <v>11</v>
      </c>
      <c r="D7" s="63" t="s">
        <v>118</v>
      </c>
      <c r="E7" s="56"/>
      <c r="F7" s="63"/>
      <c r="G7" s="64">
        <f>32*120+50</f>
        <v>3890</v>
      </c>
    </row>
    <row r="8" spans="1:7" x14ac:dyDescent="0.25">
      <c r="A8" s="56">
        <f t="shared" si="0"/>
        <v>28</v>
      </c>
      <c r="B8" s="56"/>
      <c r="C8" s="63" t="s">
        <v>11</v>
      </c>
      <c r="D8" s="63" t="s">
        <v>118</v>
      </c>
      <c r="E8" s="56"/>
      <c r="F8" s="63"/>
      <c r="G8" s="64">
        <f>32*120+50</f>
        <v>3890</v>
      </c>
    </row>
    <row r="9" spans="1:7" x14ac:dyDescent="0.25">
      <c r="A9" s="56">
        <f t="shared" si="0"/>
        <v>29</v>
      </c>
      <c r="B9" s="56"/>
      <c r="C9" s="63" t="s">
        <v>6</v>
      </c>
      <c r="D9" s="63" t="s">
        <v>119</v>
      </c>
      <c r="E9" s="56"/>
      <c r="F9" s="63"/>
      <c r="G9" s="101">
        <v>427</v>
      </c>
    </row>
    <row r="10" spans="1:7" x14ac:dyDescent="0.25">
      <c r="A10" s="56">
        <f t="shared" si="0"/>
        <v>30</v>
      </c>
      <c r="B10" s="56"/>
      <c r="C10" s="63" t="s">
        <v>6</v>
      </c>
      <c r="D10" s="63" t="s">
        <v>119</v>
      </c>
      <c r="E10" s="56"/>
      <c r="F10" s="63"/>
      <c r="G10" s="57">
        <v>427</v>
      </c>
    </row>
    <row r="11" spans="1:7" x14ac:dyDescent="0.25">
      <c r="A11" s="56">
        <f t="shared" si="0"/>
        <v>31</v>
      </c>
      <c r="B11" s="56"/>
      <c r="C11" s="63" t="s">
        <v>11</v>
      </c>
      <c r="D11" s="63" t="s">
        <v>118</v>
      </c>
      <c r="E11" s="56"/>
      <c r="F11" s="63"/>
      <c r="G11" s="64">
        <f>32*120+50</f>
        <v>3890</v>
      </c>
    </row>
    <row r="12" spans="1:7" x14ac:dyDescent="0.25">
      <c r="A12" s="56">
        <f t="shared" si="0"/>
        <v>32</v>
      </c>
      <c r="B12" s="56"/>
      <c r="C12" s="63" t="s">
        <v>11</v>
      </c>
      <c r="D12" s="63" t="s">
        <v>118</v>
      </c>
      <c r="E12" s="56"/>
      <c r="F12" s="63"/>
      <c r="G12" s="64">
        <f>32*120+50</f>
        <v>3890</v>
      </c>
    </row>
    <row r="13" spans="1:7" x14ac:dyDescent="0.25">
      <c r="A13" s="56">
        <f t="shared" si="0"/>
        <v>33</v>
      </c>
      <c r="B13" s="56"/>
      <c r="C13" s="63" t="s">
        <v>6</v>
      </c>
      <c r="D13" s="63" t="s">
        <v>120</v>
      </c>
      <c r="E13" s="56"/>
      <c r="F13" s="63"/>
      <c r="G13" s="57">
        <v>420</v>
      </c>
    </row>
    <row r="14" spans="1:7" x14ac:dyDescent="0.25">
      <c r="A14" s="56">
        <f t="shared" si="0"/>
        <v>34</v>
      </c>
      <c r="B14" s="56"/>
      <c r="C14" s="63" t="s">
        <v>121</v>
      </c>
      <c r="D14" s="63" t="s">
        <v>122</v>
      </c>
      <c r="E14" s="56"/>
      <c r="F14" s="63"/>
      <c r="G14" s="101">
        <v>1</v>
      </c>
    </row>
    <row r="15" spans="1:7" x14ac:dyDescent="0.25">
      <c r="A15" s="56">
        <f t="shared" si="0"/>
        <v>35</v>
      </c>
      <c r="B15" s="56"/>
      <c r="C15" s="63" t="s">
        <v>17</v>
      </c>
      <c r="D15" s="63" t="s">
        <v>123</v>
      </c>
      <c r="E15" s="56"/>
      <c r="F15" s="63"/>
      <c r="G15" s="101">
        <v>54080</v>
      </c>
    </row>
    <row r="16" spans="1:7" x14ac:dyDescent="0.25">
      <c r="A16" s="58"/>
      <c r="B16" s="59"/>
      <c r="C16" s="65" t="s">
        <v>283</v>
      </c>
      <c r="D16" s="66"/>
      <c r="E16" s="100"/>
      <c r="F16" s="67"/>
      <c r="G16" s="68">
        <f>SUM(G5:G15)</f>
        <v>78695</v>
      </c>
    </row>
    <row r="17" spans="1:7" x14ac:dyDescent="0.25">
      <c r="A17" s="58"/>
      <c r="B17" s="59"/>
      <c r="C17" s="69" t="s">
        <v>20</v>
      </c>
      <c r="D17" s="61"/>
      <c r="E17" s="100"/>
      <c r="F17" s="61"/>
      <c r="G17" s="62"/>
    </row>
    <row r="18" spans="1:7" x14ac:dyDescent="0.25">
      <c r="A18" s="58"/>
      <c r="B18" s="59"/>
      <c r="C18" s="63" t="s">
        <v>124</v>
      </c>
      <c r="D18" s="61"/>
      <c r="E18" s="102">
        <f>4*8</f>
        <v>32</v>
      </c>
      <c r="F18" s="103">
        <v>0.98</v>
      </c>
      <c r="G18" s="70">
        <f t="shared" ref="G18:G52" si="1">E18*F18</f>
        <v>31.36</v>
      </c>
    </row>
    <row r="19" spans="1:7" x14ac:dyDescent="0.25">
      <c r="A19" s="58"/>
      <c r="B19" s="59"/>
      <c r="C19" s="63" t="s">
        <v>125</v>
      </c>
      <c r="D19" s="61"/>
      <c r="E19" s="102">
        <f>23+1.5+6</f>
        <v>30.5</v>
      </c>
      <c r="F19" s="103">
        <v>1.68</v>
      </c>
      <c r="G19" s="70">
        <f t="shared" si="1"/>
        <v>51.239999999999995</v>
      </c>
    </row>
    <row r="20" spans="1:7" x14ac:dyDescent="0.25">
      <c r="A20" s="56"/>
      <c r="B20" s="56"/>
      <c r="C20" s="63" t="s">
        <v>21</v>
      </c>
      <c r="D20" s="63"/>
      <c r="E20" s="56">
        <f>23+3.5+1.5+6+1.3*8+1.8*8+0.6*4*2</f>
        <v>63.599999999999994</v>
      </c>
      <c r="F20" s="63">
        <v>4.22</v>
      </c>
      <c r="G20" s="70">
        <f t="shared" si="1"/>
        <v>268.39199999999994</v>
      </c>
    </row>
    <row r="21" spans="1:7" x14ac:dyDescent="0.25">
      <c r="A21" s="56"/>
      <c r="B21" s="56"/>
      <c r="C21" s="63" t="s">
        <v>23</v>
      </c>
      <c r="D21" s="104"/>
      <c r="E21" s="56">
        <f>23+1.3+4.9+2.8+1.6+1+3.2+1.2+1.1+0.8+1.8+1</f>
        <v>43.7</v>
      </c>
      <c r="F21" s="63">
        <v>10.85</v>
      </c>
      <c r="G21" s="70">
        <f t="shared" si="1"/>
        <v>474.14500000000004</v>
      </c>
    </row>
    <row r="22" spans="1:7" x14ac:dyDescent="0.25">
      <c r="A22" s="56"/>
      <c r="B22" s="56"/>
      <c r="C22" s="63" t="s">
        <v>24</v>
      </c>
      <c r="D22" s="73"/>
      <c r="E22" s="105">
        <f>1.5+0.6</f>
        <v>2.1</v>
      </c>
      <c r="F22" s="106">
        <v>15.88</v>
      </c>
      <c r="G22" s="70">
        <f t="shared" si="1"/>
        <v>33.348000000000006</v>
      </c>
    </row>
    <row r="23" spans="1:7" x14ac:dyDescent="0.25">
      <c r="A23" s="56"/>
      <c r="B23" s="56"/>
      <c r="C23" s="63" t="s">
        <v>47</v>
      </c>
      <c r="D23" s="73"/>
      <c r="E23" s="105">
        <v>4</v>
      </c>
      <c r="F23" s="106">
        <v>41.628999999999998</v>
      </c>
      <c r="G23" s="70">
        <f t="shared" si="1"/>
        <v>166.51599999999999</v>
      </c>
    </row>
    <row r="24" spans="1:7" x14ac:dyDescent="0.25">
      <c r="A24" s="56"/>
      <c r="B24" s="56"/>
      <c r="C24" s="72" t="s">
        <v>25</v>
      </c>
      <c r="D24" s="75"/>
      <c r="E24" s="102">
        <v>1</v>
      </c>
      <c r="F24" s="71">
        <v>12.8</v>
      </c>
      <c r="G24" s="70">
        <f t="shared" si="1"/>
        <v>12.8</v>
      </c>
    </row>
    <row r="25" spans="1:7" x14ac:dyDescent="0.25">
      <c r="A25" s="56"/>
      <c r="B25" s="56"/>
      <c r="C25" s="76" t="s">
        <v>27</v>
      </c>
      <c r="D25" s="63"/>
      <c r="E25" s="56">
        <v>5</v>
      </c>
      <c r="F25" s="63">
        <v>27</v>
      </c>
      <c r="G25" s="70">
        <f t="shared" si="1"/>
        <v>135</v>
      </c>
    </row>
    <row r="26" spans="1:7" x14ac:dyDescent="0.25">
      <c r="A26" s="56"/>
      <c r="B26" s="56"/>
      <c r="C26" s="76" t="s">
        <v>28</v>
      </c>
      <c r="D26" s="63"/>
      <c r="E26" s="56">
        <v>5</v>
      </c>
      <c r="F26" s="63">
        <v>58</v>
      </c>
      <c r="G26" s="70">
        <f t="shared" si="1"/>
        <v>290</v>
      </c>
    </row>
    <row r="27" spans="1:7" s="108" customFormat="1" ht="21" x14ac:dyDescent="0.25">
      <c r="A27" s="83"/>
      <c r="B27" s="107"/>
      <c r="C27" s="63" t="s">
        <v>49</v>
      </c>
      <c r="D27" s="63"/>
      <c r="E27" s="56">
        <v>1</v>
      </c>
      <c r="F27" s="63">
        <v>12.9</v>
      </c>
      <c r="G27" s="70">
        <f t="shared" si="1"/>
        <v>12.9</v>
      </c>
    </row>
    <row r="28" spans="1:7" x14ac:dyDescent="0.25">
      <c r="A28" s="58"/>
      <c r="B28" s="87"/>
      <c r="C28" s="63" t="s">
        <v>126</v>
      </c>
      <c r="D28" s="63"/>
      <c r="E28" s="56">
        <v>1</v>
      </c>
      <c r="F28" s="63">
        <v>26</v>
      </c>
      <c r="G28" s="70">
        <f t="shared" si="1"/>
        <v>26</v>
      </c>
    </row>
    <row r="29" spans="1:7" x14ac:dyDescent="0.25">
      <c r="A29" s="58"/>
      <c r="B29" s="87"/>
      <c r="C29" s="63" t="s">
        <v>31</v>
      </c>
      <c r="D29" s="63" t="s">
        <v>32</v>
      </c>
      <c r="E29" s="56">
        <v>1</v>
      </c>
      <c r="F29" s="63">
        <v>17</v>
      </c>
      <c r="G29" s="70">
        <f t="shared" si="1"/>
        <v>17</v>
      </c>
    </row>
    <row r="30" spans="1:7" x14ac:dyDescent="0.25">
      <c r="A30" s="58"/>
      <c r="B30" s="87"/>
      <c r="C30" s="63" t="s">
        <v>35</v>
      </c>
      <c r="D30" s="63" t="s">
        <v>36</v>
      </c>
      <c r="E30" s="56">
        <v>2</v>
      </c>
      <c r="F30" s="63">
        <v>50</v>
      </c>
      <c r="G30" s="70">
        <f t="shared" si="1"/>
        <v>100</v>
      </c>
    </row>
    <row r="31" spans="1:7" x14ac:dyDescent="0.25">
      <c r="A31" s="58"/>
      <c r="B31" s="87"/>
      <c r="C31" s="63" t="s">
        <v>127</v>
      </c>
      <c r="D31" s="63" t="s">
        <v>128</v>
      </c>
      <c r="E31" s="71">
        <f>2*3.14*0.15*0.2+1.111*0.5</f>
        <v>0.74390000000000001</v>
      </c>
      <c r="F31" s="63">
        <v>23.55</v>
      </c>
      <c r="G31" s="70">
        <f t="shared" si="1"/>
        <v>17.518844999999999</v>
      </c>
    </row>
    <row r="32" spans="1:7" x14ac:dyDescent="0.25">
      <c r="A32" s="58"/>
      <c r="B32" s="87"/>
      <c r="C32" s="63" t="s">
        <v>39</v>
      </c>
      <c r="D32" s="63" t="s">
        <v>129</v>
      </c>
      <c r="E32" s="56">
        <f>0.7*8</f>
        <v>5.6</v>
      </c>
      <c r="F32" s="63">
        <v>5.8</v>
      </c>
      <c r="G32" s="70">
        <f t="shared" si="1"/>
        <v>32.479999999999997</v>
      </c>
    </row>
    <row r="33" spans="1:7" x14ac:dyDescent="0.25">
      <c r="A33" s="58"/>
      <c r="B33" s="87"/>
      <c r="C33" s="63" t="s">
        <v>130</v>
      </c>
      <c r="D33" s="63" t="s">
        <v>131</v>
      </c>
      <c r="E33" s="56">
        <f>0.5*0.4</f>
        <v>0.2</v>
      </c>
      <c r="F33" s="63">
        <v>62.8</v>
      </c>
      <c r="G33" s="70">
        <f t="shared" si="1"/>
        <v>12.56</v>
      </c>
    </row>
    <row r="34" spans="1:7" x14ac:dyDescent="0.25">
      <c r="A34" s="58"/>
      <c r="B34" s="87"/>
      <c r="C34" s="77" t="s">
        <v>52</v>
      </c>
      <c r="D34" s="71"/>
      <c r="E34" s="102">
        <v>1</v>
      </c>
      <c r="F34" s="71">
        <v>23.5</v>
      </c>
      <c r="G34" s="70">
        <f t="shared" si="1"/>
        <v>23.5</v>
      </c>
    </row>
    <row r="35" spans="1:7" x14ac:dyDescent="0.25">
      <c r="A35" s="58"/>
      <c r="B35" s="87"/>
      <c r="C35" s="77" t="s">
        <v>132</v>
      </c>
      <c r="D35" s="71"/>
      <c r="E35" s="102">
        <v>1.4</v>
      </c>
      <c r="F35" s="71">
        <v>8.59</v>
      </c>
      <c r="G35" s="70">
        <f t="shared" si="1"/>
        <v>12.026</v>
      </c>
    </row>
    <row r="36" spans="1:7" x14ac:dyDescent="0.25">
      <c r="A36" s="58"/>
      <c r="B36" s="87"/>
      <c r="C36" s="77" t="s">
        <v>97</v>
      </c>
      <c r="D36" s="71"/>
      <c r="E36" s="102">
        <f>3*8</f>
        <v>24</v>
      </c>
      <c r="F36" s="71">
        <v>9</v>
      </c>
      <c r="G36" s="70">
        <f t="shared" si="1"/>
        <v>216</v>
      </c>
    </row>
    <row r="37" spans="1:7" x14ac:dyDescent="0.25">
      <c r="A37" s="58"/>
      <c r="B37" s="87"/>
      <c r="C37" s="78" t="s">
        <v>45</v>
      </c>
      <c r="D37" s="63"/>
      <c r="E37" s="56"/>
      <c r="F37" s="63"/>
      <c r="G37" s="70"/>
    </row>
    <row r="38" spans="1:7" x14ac:dyDescent="0.25">
      <c r="A38" s="58"/>
      <c r="B38" s="87"/>
      <c r="C38" s="63" t="s">
        <v>21</v>
      </c>
      <c r="D38" s="63"/>
      <c r="E38" s="56">
        <f>23+4.6+21+3.5+1.2*8</f>
        <v>61.7</v>
      </c>
      <c r="F38" s="63">
        <v>4.62</v>
      </c>
      <c r="G38" s="70">
        <f t="shared" si="1"/>
        <v>285.05400000000003</v>
      </c>
    </row>
    <row r="39" spans="1:7" x14ac:dyDescent="0.25">
      <c r="A39" s="58"/>
      <c r="B39" s="87"/>
      <c r="C39" s="63" t="s">
        <v>22</v>
      </c>
      <c r="D39" s="63"/>
      <c r="E39" s="56">
        <f>1.3+2</f>
        <v>3.3</v>
      </c>
      <c r="F39" s="63">
        <v>9.3800000000000008</v>
      </c>
      <c r="G39" s="70">
        <f t="shared" si="1"/>
        <v>30.954000000000001</v>
      </c>
    </row>
    <row r="40" spans="1:7" x14ac:dyDescent="0.25">
      <c r="A40" s="58"/>
      <c r="B40" s="87"/>
      <c r="C40" s="63" t="s">
        <v>23</v>
      </c>
      <c r="D40" s="63"/>
      <c r="E40" s="56">
        <f>1.2*8+1.7*8+0.5+0.9+0.9+0.5+1.7+1.3+1.7+0.7*8+0.5*8</f>
        <v>40.299999999999997</v>
      </c>
      <c r="F40" s="63">
        <v>10.26</v>
      </c>
      <c r="G40" s="70">
        <f t="shared" si="1"/>
        <v>413.47799999999995</v>
      </c>
    </row>
    <row r="41" spans="1:7" x14ac:dyDescent="0.25">
      <c r="A41" s="58"/>
      <c r="B41" s="87"/>
      <c r="C41" s="63" t="s">
        <v>46</v>
      </c>
      <c r="D41" s="63"/>
      <c r="E41" s="56"/>
      <c r="F41" s="63">
        <v>15.04</v>
      </c>
      <c r="G41" s="70">
        <f t="shared" si="1"/>
        <v>0</v>
      </c>
    </row>
    <row r="42" spans="1:7" x14ac:dyDescent="0.25">
      <c r="A42" s="58"/>
      <c r="B42" s="87"/>
      <c r="C42" s="63" t="s">
        <v>24</v>
      </c>
      <c r="D42" s="63"/>
      <c r="E42" s="56">
        <f>1.5+3+1.4+3.2</f>
        <v>9.1000000000000014</v>
      </c>
      <c r="F42" s="63">
        <v>17.149999999999999</v>
      </c>
      <c r="G42" s="70">
        <f t="shared" si="1"/>
        <v>156.065</v>
      </c>
    </row>
    <row r="43" spans="1:7" x14ac:dyDescent="0.25">
      <c r="A43" s="58"/>
      <c r="B43" s="87"/>
      <c r="C43" s="63" t="s">
        <v>99</v>
      </c>
      <c r="D43" s="63"/>
      <c r="E43" s="56">
        <f>2.4+2.5+2+16+2.1+1.1+14</f>
        <v>40.1</v>
      </c>
      <c r="F43" s="63">
        <v>52.28</v>
      </c>
      <c r="G43" s="70">
        <f t="shared" si="1"/>
        <v>2096.4280000000003</v>
      </c>
    </row>
    <row r="44" spans="1:7" x14ac:dyDescent="0.25">
      <c r="A44" s="58"/>
      <c r="B44" s="87"/>
      <c r="C44" s="63" t="s">
        <v>133</v>
      </c>
      <c r="D44" s="63"/>
      <c r="E44" s="56">
        <v>1</v>
      </c>
      <c r="F44" s="63">
        <v>62.54</v>
      </c>
      <c r="G44" s="70">
        <f t="shared" si="1"/>
        <v>62.54</v>
      </c>
    </row>
    <row r="45" spans="1:7" x14ac:dyDescent="0.25">
      <c r="A45" s="58"/>
      <c r="B45" s="87"/>
      <c r="C45" s="63" t="s">
        <v>28</v>
      </c>
      <c r="D45" s="63"/>
      <c r="E45" s="56">
        <f>2+2</f>
        <v>4</v>
      </c>
      <c r="F45" s="63">
        <v>85</v>
      </c>
      <c r="G45" s="70">
        <f t="shared" si="1"/>
        <v>340</v>
      </c>
    </row>
    <row r="46" spans="1:7" ht="20.25" customHeight="1" x14ac:dyDescent="0.25">
      <c r="A46" s="58"/>
      <c r="B46" s="87"/>
      <c r="C46" s="63" t="s">
        <v>48</v>
      </c>
      <c r="D46" s="63"/>
      <c r="E46" s="56">
        <v>1</v>
      </c>
      <c r="F46" s="63">
        <v>8.5</v>
      </c>
      <c r="G46" s="70">
        <f t="shared" si="1"/>
        <v>8.5</v>
      </c>
    </row>
    <row r="47" spans="1:7" ht="20.25" customHeight="1" x14ac:dyDescent="0.25">
      <c r="A47" s="58"/>
      <c r="B47" s="87"/>
      <c r="C47" s="63" t="s">
        <v>29</v>
      </c>
      <c r="D47" s="63"/>
      <c r="E47" s="56">
        <v>1</v>
      </c>
      <c r="F47" s="63">
        <v>10.1</v>
      </c>
      <c r="G47" s="70">
        <f t="shared" si="1"/>
        <v>10.1</v>
      </c>
    </row>
    <row r="48" spans="1:7" ht="20.25" customHeight="1" x14ac:dyDescent="0.25">
      <c r="A48" s="58"/>
      <c r="B48" s="87"/>
      <c r="C48" s="63" t="s">
        <v>49</v>
      </c>
      <c r="D48" s="63"/>
      <c r="E48" s="56">
        <f>8+1+7</f>
        <v>16</v>
      </c>
      <c r="F48" s="63">
        <v>12.9</v>
      </c>
      <c r="G48" s="70">
        <f t="shared" si="1"/>
        <v>206.4</v>
      </c>
    </row>
    <row r="49" spans="1:7" ht="20.25" customHeight="1" x14ac:dyDescent="0.25">
      <c r="A49" s="58"/>
      <c r="B49" s="87"/>
      <c r="C49" s="63" t="s">
        <v>50</v>
      </c>
      <c r="D49" s="63"/>
      <c r="E49" s="56"/>
      <c r="F49" s="63">
        <v>27.2</v>
      </c>
      <c r="G49" s="70">
        <f t="shared" si="1"/>
        <v>0</v>
      </c>
    </row>
    <row r="50" spans="1:7" ht="20.25" customHeight="1" x14ac:dyDescent="0.25">
      <c r="A50" s="58"/>
      <c r="B50" s="87"/>
      <c r="C50" s="63" t="s">
        <v>51</v>
      </c>
      <c r="D50" s="63"/>
      <c r="E50" s="56">
        <v>2</v>
      </c>
      <c r="F50" s="63">
        <v>27.4</v>
      </c>
      <c r="G50" s="70">
        <f t="shared" si="1"/>
        <v>54.8</v>
      </c>
    </row>
    <row r="51" spans="1:7" ht="20.25" customHeight="1" x14ac:dyDescent="0.25">
      <c r="A51" s="58"/>
      <c r="B51" s="87"/>
      <c r="C51" s="63" t="s">
        <v>66</v>
      </c>
      <c r="D51" s="63"/>
      <c r="E51" s="56">
        <v>8</v>
      </c>
      <c r="F51" s="63">
        <v>9</v>
      </c>
      <c r="G51" s="70">
        <f t="shared" si="1"/>
        <v>72</v>
      </c>
    </row>
    <row r="52" spans="1:7" ht="20.25" customHeight="1" x14ac:dyDescent="0.25">
      <c r="A52" s="58"/>
      <c r="B52" s="87"/>
      <c r="C52" s="63" t="s">
        <v>52</v>
      </c>
      <c r="D52" s="63"/>
      <c r="E52" s="56">
        <v>2</v>
      </c>
      <c r="F52" s="63">
        <v>23.5</v>
      </c>
      <c r="G52" s="70">
        <f t="shared" si="1"/>
        <v>47</v>
      </c>
    </row>
    <row r="53" spans="1:7" x14ac:dyDescent="0.25">
      <c r="A53" s="89"/>
      <c r="B53" s="87"/>
      <c r="C53" s="63" t="s">
        <v>112</v>
      </c>
      <c r="D53" s="71"/>
      <c r="E53" s="102">
        <v>1</v>
      </c>
      <c r="F53" s="71">
        <v>45.5</v>
      </c>
      <c r="G53" s="70">
        <f>E53*F53</f>
        <v>45.5</v>
      </c>
    </row>
    <row r="54" spans="1:7" x14ac:dyDescent="0.25">
      <c r="A54" s="89"/>
      <c r="B54" s="87"/>
      <c r="C54" s="63" t="s">
        <v>134</v>
      </c>
      <c r="D54" s="71"/>
      <c r="E54" s="102">
        <v>3</v>
      </c>
      <c r="F54" s="71">
        <v>6.3</v>
      </c>
      <c r="G54" s="70">
        <f t="shared" ref="G54:G60" si="2">E54*F54</f>
        <v>18.899999999999999</v>
      </c>
    </row>
    <row r="55" spans="1:7" x14ac:dyDescent="0.25">
      <c r="A55" s="89"/>
      <c r="B55" s="87"/>
      <c r="C55" s="63" t="s">
        <v>135</v>
      </c>
      <c r="D55" s="71"/>
      <c r="E55" s="102">
        <v>7</v>
      </c>
      <c r="F55" s="71">
        <v>12</v>
      </c>
      <c r="G55" s="70">
        <f t="shared" si="2"/>
        <v>84</v>
      </c>
    </row>
    <row r="56" spans="1:7" x14ac:dyDescent="0.25">
      <c r="A56" s="89"/>
      <c r="B56" s="87"/>
      <c r="C56" s="63" t="s">
        <v>136</v>
      </c>
      <c r="D56" s="71"/>
      <c r="E56" s="102">
        <v>3</v>
      </c>
      <c r="F56" s="71">
        <v>12</v>
      </c>
      <c r="G56" s="70">
        <f t="shared" si="2"/>
        <v>36</v>
      </c>
    </row>
    <row r="57" spans="1:7" x14ac:dyDescent="0.25">
      <c r="A57" s="89"/>
      <c r="B57" s="87"/>
      <c r="C57" s="63" t="s">
        <v>137</v>
      </c>
      <c r="D57" s="71"/>
      <c r="E57" s="102">
        <v>1</v>
      </c>
      <c r="F57" s="71">
        <v>2.4</v>
      </c>
      <c r="G57" s="70">
        <f t="shared" si="2"/>
        <v>2.4</v>
      </c>
    </row>
    <row r="58" spans="1:7" x14ac:dyDescent="0.25">
      <c r="A58" s="89"/>
      <c r="B58" s="87"/>
      <c r="C58" s="63" t="s">
        <v>138</v>
      </c>
      <c r="D58" s="71" t="s">
        <v>139</v>
      </c>
      <c r="E58" s="102">
        <f>0.5*1.8*4</f>
        <v>3.6</v>
      </c>
      <c r="F58" s="71">
        <v>23.55</v>
      </c>
      <c r="G58" s="70">
        <f t="shared" si="2"/>
        <v>84.78</v>
      </c>
    </row>
    <row r="59" spans="1:7" x14ac:dyDescent="0.25">
      <c r="A59" s="89"/>
      <c r="B59" s="87"/>
      <c r="C59" s="63" t="s">
        <v>140</v>
      </c>
      <c r="D59" s="71"/>
      <c r="E59" s="102">
        <v>1</v>
      </c>
      <c r="F59" s="71">
        <v>33</v>
      </c>
      <c r="G59" s="70">
        <f t="shared" si="2"/>
        <v>33</v>
      </c>
    </row>
    <row r="60" spans="1:7" x14ac:dyDescent="0.25">
      <c r="A60" s="89"/>
      <c r="B60" s="87"/>
      <c r="C60" s="63" t="s">
        <v>39</v>
      </c>
      <c r="D60" s="71"/>
      <c r="E60" s="102">
        <f>2.8*2*4+5*3*4+2.4*2*4+2*2*4</f>
        <v>117.60000000000001</v>
      </c>
      <c r="F60" s="71">
        <v>5.8</v>
      </c>
      <c r="G60" s="70">
        <f t="shared" si="2"/>
        <v>682.08</v>
      </c>
    </row>
    <row r="61" spans="1:7" x14ac:dyDescent="0.25">
      <c r="A61" s="58"/>
      <c r="B61" s="87"/>
      <c r="C61" s="71"/>
      <c r="D61" s="71"/>
      <c r="E61" s="102"/>
      <c r="F61" s="71"/>
      <c r="G61" s="70"/>
    </row>
    <row r="62" spans="1:7" x14ac:dyDescent="0.25">
      <c r="A62" s="58"/>
      <c r="B62" s="87"/>
      <c r="C62" s="71"/>
      <c r="D62" s="71"/>
      <c r="E62" s="102"/>
      <c r="F62" s="71"/>
      <c r="G62" s="70"/>
    </row>
    <row r="63" spans="1:7" x14ac:dyDescent="0.25">
      <c r="A63" s="58"/>
      <c r="B63" s="87"/>
      <c r="C63" s="71"/>
      <c r="D63" s="71"/>
      <c r="E63" s="102"/>
      <c r="F63" s="71"/>
      <c r="G63" s="70"/>
    </row>
    <row r="64" spans="1:7" x14ac:dyDescent="0.25">
      <c r="A64" s="58"/>
      <c r="B64" s="87"/>
      <c r="C64" s="71"/>
      <c r="D64" s="71"/>
      <c r="E64" s="102"/>
      <c r="F64" s="71"/>
      <c r="G64" s="70"/>
    </row>
    <row r="65" spans="1:7" x14ac:dyDescent="0.25">
      <c r="A65" s="58"/>
      <c r="B65" s="87"/>
      <c r="C65" s="71"/>
      <c r="D65" s="71"/>
      <c r="E65" s="102"/>
      <c r="F65" s="71"/>
      <c r="G65" s="70"/>
    </row>
    <row r="66" spans="1:7" ht="28.5" customHeight="1" x14ac:dyDescent="0.25">
      <c r="A66" s="58"/>
      <c r="B66" s="87"/>
      <c r="C66" s="63"/>
      <c r="D66" s="63"/>
      <c r="E66" s="56"/>
      <c r="F66" s="63"/>
      <c r="G66" s="63"/>
    </row>
    <row r="67" spans="1:7" x14ac:dyDescent="0.25">
      <c r="A67" s="58"/>
      <c r="B67" s="87"/>
      <c r="C67" s="71"/>
      <c r="D67" s="71"/>
      <c r="E67" s="102"/>
      <c r="F67" s="71"/>
      <c r="G67" s="70"/>
    </row>
    <row r="68" spans="1:7" x14ac:dyDescent="0.25">
      <c r="A68" s="58"/>
      <c r="B68" s="87"/>
      <c r="C68" s="71"/>
      <c r="D68" s="71"/>
      <c r="E68" s="102"/>
      <c r="F68" s="71"/>
      <c r="G68" s="70"/>
    </row>
    <row r="69" spans="1:7" x14ac:dyDescent="0.25">
      <c r="A69" s="58"/>
      <c r="B69" s="87"/>
      <c r="C69" s="71"/>
      <c r="D69" s="71"/>
      <c r="E69" s="102"/>
      <c r="F69" s="71"/>
      <c r="G69" s="70"/>
    </row>
    <row r="70" spans="1:7" x14ac:dyDescent="0.25">
      <c r="A70" s="58"/>
      <c r="B70" s="87"/>
      <c r="C70" s="71"/>
      <c r="D70" s="71"/>
      <c r="E70" s="102"/>
      <c r="F70" s="71"/>
      <c r="G70" s="70"/>
    </row>
    <row r="71" spans="1:7" x14ac:dyDescent="0.25">
      <c r="A71" s="58"/>
      <c r="B71" s="87"/>
      <c r="C71" s="71"/>
      <c r="D71" s="71"/>
      <c r="E71" s="102"/>
      <c r="F71" s="71"/>
      <c r="G71" s="70"/>
    </row>
    <row r="72" spans="1:7" x14ac:dyDescent="0.25">
      <c r="A72" s="58"/>
      <c r="B72" s="87"/>
      <c r="C72" s="71"/>
      <c r="D72" s="71"/>
      <c r="E72" s="102"/>
      <c r="F72" s="71"/>
      <c r="G72" s="70"/>
    </row>
    <row r="73" spans="1:7" x14ac:dyDescent="0.25">
      <c r="A73" s="58"/>
      <c r="B73" s="87"/>
      <c r="C73" s="71"/>
      <c r="D73" s="71"/>
      <c r="E73" s="102"/>
      <c r="F73" s="71"/>
      <c r="G73" s="70"/>
    </row>
    <row r="74" spans="1:7" x14ac:dyDescent="0.25">
      <c r="A74" s="58"/>
      <c r="B74" s="87"/>
      <c r="C74" s="71"/>
      <c r="D74" s="71"/>
      <c r="E74" s="102"/>
      <c r="F74" s="71"/>
      <c r="G74" s="70"/>
    </row>
    <row r="75" spans="1:7" x14ac:dyDescent="0.25">
      <c r="A75" s="58"/>
      <c r="B75" s="87"/>
      <c r="C75" s="71"/>
      <c r="D75" s="71"/>
      <c r="E75" s="102"/>
      <c r="F75" s="71"/>
      <c r="G75" s="70"/>
    </row>
    <row r="76" spans="1:7" ht="16.5" customHeight="1" x14ac:dyDescent="0.25">
      <c r="A76" s="58"/>
      <c r="B76" s="87"/>
      <c r="C76" s="88"/>
      <c r="D76" s="88"/>
      <c r="E76" s="110"/>
      <c r="F76" s="88"/>
      <c r="G76" s="70"/>
    </row>
    <row r="77" spans="1:7" x14ac:dyDescent="0.25">
      <c r="A77" s="58"/>
      <c r="B77" s="87"/>
      <c r="C77" s="71"/>
      <c r="D77" s="71"/>
      <c r="E77" s="102"/>
      <c r="F77" s="71"/>
      <c r="G77" s="70"/>
    </row>
    <row r="78" spans="1:7" x14ac:dyDescent="0.25">
      <c r="A78" s="58"/>
      <c r="B78" s="87"/>
      <c r="C78" s="71"/>
      <c r="D78" s="71"/>
      <c r="E78" s="102"/>
      <c r="F78" s="71"/>
      <c r="G78" s="70"/>
    </row>
    <row r="79" spans="1:7" x14ac:dyDescent="0.25">
      <c r="A79" s="58"/>
      <c r="B79" s="87"/>
      <c r="C79" s="71"/>
      <c r="D79" s="71"/>
      <c r="E79" s="102"/>
      <c r="F79" s="71"/>
      <c r="G79" s="70"/>
    </row>
    <row r="80" spans="1:7" x14ac:dyDescent="0.25">
      <c r="A80" s="58"/>
      <c r="B80" s="87"/>
      <c r="C80" s="71"/>
      <c r="D80" s="71"/>
      <c r="E80" s="102"/>
      <c r="F80" s="71"/>
      <c r="G80" s="70"/>
    </row>
    <row r="81" spans="1:7" x14ac:dyDescent="0.25">
      <c r="A81" s="58"/>
      <c r="B81" s="87"/>
      <c r="C81" s="71"/>
      <c r="D81" s="71"/>
      <c r="E81" s="102"/>
      <c r="F81" s="71"/>
      <c r="G81" s="70"/>
    </row>
    <row r="82" spans="1:7" x14ac:dyDescent="0.25">
      <c r="A82" s="58"/>
      <c r="B82" s="87"/>
      <c r="C82" s="71"/>
      <c r="D82" s="71"/>
      <c r="E82" s="102"/>
      <c r="F82" s="71"/>
      <c r="G82" s="70"/>
    </row>
    <row r="83" spans="1:7" x14ac:dyDescent="0.25">
      <c r="A83" s="58"/>
      <c r="B83" s="87"/>
      <c r="C83" s="71"/>
      <c r="D83" s="71"/>
      <c r="E83" s="102"/>
      <c r="F83" s="71"/>
      <c r="G83" s="70"/>
    </row>
    <row r="84" spans="1:7" s="90" customFormat="1" x14ac:dyDescent="0.25">
      <c r="A84" s="58"/>
      <c r="B84" s="59"/>
      <c r="C84" s="71"/>
      <c r="D84" s="71"/>
      <c r="E84" s="102"/>
      <c r="F84" s="71"/>
      <c r="G84" s="70"/>
    </row>
    <row r="85" spans="1:7" s="90" customFormat="1" x14ac:dyDescent="0.25">
      <c r="A85" s="58"/>
      <c r="B85" s="59"/>
      <c r="C85" s="71"/>
      <c r="D85" s="71"/>
      <c r="E85" s="102"/>
      <c r="F85" s="71"/>
      <c r="G85" s="70"/>
    </row>
    <row r="86" spans="1:7" x14ac:dyDescent="0.25">
      <c r="A86" s="58"/>
      <c r="B86" s="87"/>
      <c r="C86" s="71"/>
      <c r="D86" s="71"/>
      <c r="E86" s="102"/>
      <c r="F86" s="71"/>
      <c r="G86" s="70"/>
    </row>
    <row r="87" spans="1:7" x14ac:dyDescent="0.25">
      <c r="A87" s="58"/>
      <c r="B87" s="87"/>
      <c r="C87" s="63"/>
      <c r="D87" s="63"/>
      <c r="E87" s="56"/>
      <c r="F87" s="63"/>
      <c r="G87" s="70"/>
    </row>
    <row r="88" spans="1:7" x14ac:dyDescent="0.25">
      <c r="A88" s="58"/>
      <c r="B88" s="87"/>
      <c r="C88" s="88"/>
      <c r="D88" s="88"/>
      <c r="E88" s="110"/>
      <c r="F88" s="88"/>
      <c r="G88" s="70"/>
    </row>
    <row r="89" spans="1:7" x14ac:dyDescent="0.25">
      <c r="A89" s="58"/>
      <c r="B89" s="87"/>
      <c r="C89" s="71"/>
      <c r="D89" s="71"/>
      <c r="E89" s="102"/>
      <c r="F89" s="71"/>
      <c r="G89" s="70"/>
    </row>
    <row r="90" spans="1:7" x14ac:dyDescent="0.25">
      <c r="A90" s="58"/>
      <c r="B90" s="87"/>
      <c r="C90" s="71"/>
      <c r="D90" s="71"/>
      <c r="E90" s="102"/>
      <c r="F90" s="71"/>
      <c r="G90" s="70"/>
    </row>
    <row r="91" spans="1:7" x14ac:dyDescent="0.25">
      <c r="A91" s="58"/>
      <c r="B91" s="87"/>
      <c r="C91" s="71"/>
      <c r="D91" s="71"/>
      <c r="E91" s="102"/>
      <c r="F91" s="71"/>
      <c r="G91" s="70"/>
    </row>
    <row r="92" spans="1:7" x14ac:dyDescent="0.25">
      <c r="A92" s="58"/>
      <c r="B92" s="87"/>
      <c r="C92" s="71"/>
      <c r="D92" s="71"/>
      <c r="E92" s="102"/>
      <c r="F92" s="71"/>
      <c r="G92" s="70"/>
    </row>
    <row r="93" spans="1:7" x14ac:dyDescent="0.25">
      <c r="A93" s="58"/>
      <c r="B93" s="87"/>
      <c r="C93" s="71"/>
      <c r="D93" s="71"/>
      <c r="E93" s="102"/>
      <c r="F93" s="71"/>
      <c r="G93" s="70"/>
    </row>
    <row r="94" spans="1:7" x14ac:dyDescent="0.25">
      <c r="A94" s="58"/>
      <c r="B94" s="87"/>
      <c r="C94" s="71"/>
      <c r="D94" s="71"/>
      <c r="E94" s="102"/>
      <c r="F94" s="71"/>
      <c r="G94" s="70"/>
    </row>
    <row r="95" spans="1:7" s="90" customFormat="1" ht="17.25" customHeight="1" x14ac:dyDescent="0.25">
      <c r="A95" s="58"/>
      <c r="B95" s="59"/>
      <c r="C95" s="71"/>
      <c r="D95" s="71"/>
      <c r="E95" s="102"/>
      <c r="F95" s="71"/>
      <c r="G95" s="70"/>
    </row>
    <row r="96" spans="1:7" s="90" customFormat="1" x14ac:dyDescent="0.25">
      <c r="A96" s="58"/>
      <c r="B96" s="59"/>
      <c r="C96" s="71"/>
      <c r="D96" s="71"/>
      <c r="E96" s="102"/>
      <c r="F96" s="71"/>
      <c r="G96" s="70"/>
    </row>
    <row r="97" spans="1:7" x14ac:dyDescent="0.25">
      <c r="A97" s="89"/>
      <c r="B97" s="87"/>
      <c r="C97" s="71"/>
      <c r="D97" s="71"/>
      <c r="E97" s="102"/>
      <c r="F97" s="71"/>
      <c r="G97" s="70"/>
    </row>
    <row r="98" spans="1:7" x14ac:dyDescent="0.25">
      <c r="A98" s="89"/>
      <c r="B98" s="87"/>
      <c r="C98" s="71"/>
      <c r="D98" s="71"/>
      <c r="E98" s="102"/>
      <c r="F98" s="71"/>
      <c r="G98" s="70"/>
    </row>
    <row r="99" spans="1:7" x14ac:dyDescent="0.25">
      <c r="A99" s="89"/>
      <c r="B99" s="87"/>
      <c r="C99" s="71"/>
      <c r="D99" s="71"/>
      <c r="E99" s="102"/>
      <c r="F99" s="71"/>
      <c r="G99" s="70"/>
    </row>
    <row r="100" spans="1:7" s="90" customFormat="1" ht="21" customHeight="1" x14ac:dyDescent="0.25">
      <c r="A100" s="58"/>
      <c r="B100" s="58"/>
      <c r="C100" s="71"/>
      <c r="D100" s="71"/>
      <c r="E100" s="102"/>
      <c r="F100" s="71"/>
      <c r="G100" s="70"/>
    </row>
    <row r="101" spans="1:7" s="90" customFormat="1" x14ac:dyDescent="0.25">
      <c r="A101" s="58"/>
      <c r="B101" s="58"/>
      <c r="C101" s="71"/>
      <c r="D101" s="71"/>
      <c r="E101" s="102"/>
      <c r="F101" s="71"/>
      <c r="G101" s="70"/>
    </row>
    <row r="102" spans="1:7" x14ac:dyDescent="0.25">
      <c r="A102" s="58"/>
      <c r="B102" s="58"/>
      <c r="C102" s="88"/>
      <c r="D102" s="88"/>
      <c r="E102" s="110"/>
      <c r="F102" s="88"/>
      <c r="G102" s="70"/>
    </row>
    <row r="103" spans="1:7" x14ac:dyDescent="0.25">
      <c r="A103" s="58"/>
      <c r="B103" s="58"/>
      <c r="C103" s="71"/>
      <c r="D103" s="71"/>
      <c r="E103" s="102"/>
      <c r="F103" s="71"/>
      <c r="G103" s="70"/>
    </row>
    <row r="104" spans="1:7" x14ac:dyDescent="0.25">
      <c r="A104" s="58"/>
      <c r="B104" s="58"/>
      <c r="C104" s="71"/>
      <c r="D104" s="71"/>
      <c r="E104" s="102"/>
      <c r="F104" s="71"/>
      <c r="G104" s="70"/>
    </row>
    <row r="105" spans="1:7" x14ac:dyDescent="0.25">
      <c r="A105" s="58"/>
      <c r="B105" s="58"/>
      <c r="C105" s="71"/>
      <c r="D105" s="71"/>
      <c r="E105" s="102"/>
      <c r="F105" s="71"/>
      <c r="G105" s="70"/>
    </row>
    <row r="106" spans="1:7" x14ac:dyDescent="0.25">
      <c r="A106" s="58"/>
      <c r="B106" s="58"/>
      <c r="C106" s="71"/>
      <c r="D106" s="71"/>
      <c r="E106" s="102"/>
      <c r="F106" s="71"/>
      <c r="G106" s="70"/>
    </row>
    <row r="107" spans="1:7" s="92" customFormat="1" ht="21" x14ac:dyDescent="0.25">
      <c r="A107" s="83"/>
      <c r="B107" s="83"/>
      <c r="C107" s="82"/>
      <c r="D107" s="82"/>
      <c r="E107" s="109"/>
      <c r="F107" s="83"/>
      <c r="G107" s="84"/>
    </row>
    <row r="108" spans="1:7" ht="26.25" x14ac:dyDescent="0.25">
      <c r="A108" s="58"/>
      <c r="B108" s="58"/>
      <c r="C108" s="71"/>
      <c r="D108" s="71"/>
      <c r="E108" s="102"/>
      <c r="F108" s="85"/>
      <c r="G108" s="86"/>
    </row>
    <row r="109" spans="1:7" ht="23.25" x14ac:dyDescent="0.25">
      <c r="A109" s="58"/>
      <c r="B109" s="58"/>
      <c r="C109" s="71"/>
      <c r="D109" s="93"/>
      <c r="E109" s="102"/>
      <c r="F109" s="71"/>
      <c r="G109" s="94"/>
    </row>
    <row r="110" spans="1:7" x14ac:dyDescent="0.25">
      <c r="A110" s="58"/>
      <c r="B110" s="59"/>
      <c r="C110" s="60"/>
      <c r="D110" s="61"/>
      <c r="E110" s="100"/>
      <c r="F110" s="61"/>
      <c r="G110" s="62"/>
    </row>
    <row r="111" spans="1:7" x14ac:dyDescent="0.25">
      <c r="A111" s="56"/>
      <c r="B111" s="56"/>
      <c r="C111" s="63"/>
      <c r="D111" s="63"/>
      <c r="E111" s="56"/>
      <c r="F111" s="63"/>
      <c r="G111" s="64"/>
    </row>
    <row r="112" spans="1:7" x14ac:dyDescent="0.25">
      <c r="A112" s="56"/>
      <c r="B112" s="56"/>
      <c r="C112" s="63"/>
      <c r="D112" s="63"/>
      <c r="E112" s="56"/>
      <c r="F112" s="63"/>
      <c r="G112" s="64"/>
    </row>
    <row r="113" spans="1:7" x14ac:dyDescent="0.25">
      <c r="A113" s="56"/>
      <c r="B113" s="56"/>
      <c r="C113" s="63"/>
      <c r="D113" s="63"/>
      <c r="E113" s="56"/>
      <c r="F113" s="63"/>
      <c r="G113" s="64"/>
    </row>
    <row r="114" spans="1:7" x14ac:dyDescent="0.25">
      <c r="A114" s="56"/>
      <c r="B114" s="56"/>
      <c r="C114" s="63"/>
      <c r="D114" s="63"/>
      <c r="E114" s="56"/>
      <c r="F114" s="63"/>
      <c r="G114" s="64"/>
    </row>
    <row r="115" spans="1:7" x14ac:dyDescent="0.25">
      <c r="A115" s="56"/>
      <c r="B115" s="56"/>
      <c r="C115" s="63"/>
      <c r="D115" s="95"/>
      <c r="E115" s="111"/>
      <c r="F115" s="95"/>
      <c r="G115" s="64"/>
    </row>
    <row r="116" spans="1:7" x14ac:dyDescent="0.25">
      <c r="A116" s="56"/>
      <c r="B116" s="56"/>
      <c r="C116" s="63"/>
      <c r="D116" s="63"/>
      <c r="E116" s="56"/>
      <c r="F116" s="63"/>
      <c r="G116" s="64"/>
    </row>
    <row r="117" spans="1:7" x14ac:dyDescent="0.25">
      <c r="A117" s="56"/>
      <c r="B117" s="56"/>
      <c r="C117" s="63"/>
      <c r="D117" s="63"/>
      <c r="E117" s="56"/>
      <c r="F117" s="63"/>
      <c r="G117" s="64"/>
    </row>
    <row r="118" spans="1:7" x14ac:dyDescent="0.25">
      <c r="A118" s="56"/>
      <c r="B118" s="56"/>
      <c r="C118" s="63"/>
      <c r="D118" s="63"/>
      <c r="E118" s="56"/>
      <c r="F118" s="63"/>
      <c r="G118" s="64"/>
    </row>
    <row r="119" spans="1:7" x14ac:dyDescent="0.25">
      <c r="A119" s="56"/>
      <c r="B119" s="56"/>
      <c r="C119" s="63"/>
      <c r="D119" s="63"/>
      <c r="E119" s="56"/>
      <c r="F119" s="63"/>
      <c r="G119" s="64"/>
    </row>
    <row r="120" spans="1:7" x14ac:dyDescent="0.25">
      <c r="A120" s="56"/>
      <c r="B120" s="56"/>
      <c r="C120" s="63"/>
      <c r="D120" s="63"/>
      <c r="E120" s="56"/>
      <c r="F120" s="63"/>
      <c r="G120" s="64"/>
    </row>
    <row r="121" spans="1:7" x14ac:dyDescent="0.25">
      <c r="A121" s="56"/>
      <c r="B121" s="56"/>
      <c r="C121" s="63"/>
      <c r="D121" s="63"/>
      <c r="E121" s="56"/>
      <c r="F121" s="63"/>
      <c r="G121" s="64"/>
    </row>
    <row r="122" spans="1:7" x14ac:dyDescent="0.25">
      <c r="A122" s="56"/>
      <c r="B122" s="56"/>
      <c r="C122" s="63"/>
      <c r="D122" s="95"/>
      <c r="E122" s="111"/>
      <c r="F122" s="95"/>
      <c r="G122" s="57"/>
    </row>
    <row r="123" spans="1:7" x14ac:dyDescent="0.25">
      <c r="A123" s="56"/>
      <c r="B123" s="56"/>
      <c r="C123" s="63"/>
      <c r="D123" s="95"/>
      <c r="E123" s="111"/>
      <c r="F123" s="95"/>
      <c r="G123" s="57"/>
    </row>
    <row r="124" spans="1:7" x14ac:dyDescent="0.25">
      <c r="A124" s="56"/>
      <c r="B124" s="56"/>
      <c r="C124" s="63"/>
      <c r="D124" s="63"/>
      <c r="E124" s="56"/>
      <c r="F124" s="63"/>
      <c r="G124" s="57"/>
    </row>
    <row r="125" spans="1:7" x14ac:dyDescent="0.25">
      <c r="A125" s="56"/>
      <c r="B125" s="56"/>
      <c r="C125" s="63"/>
      <c r="D125" s="63"/>
      <c r="E125" s="56"/>
      <c r="F125" s="63"/>
      <c r="G125" s="57"/>
    </row>
    <row r="126" spans="1:7" x14ac:dyDescent="0.25">
      <c r="A126" s="56"/>
      <c r="B126" s="56"/>
      <c r="C126" s="63"/>
      <c r="D126" s="63"/>
      <c r="E126" s="56"/>
      <c r="F126" s="63"/>
      <c r="G126" s="57"/>
    </row>
    <row r="127" spans="1:7" x14ac:dyDescent="0.25">
      <c r="A127" s="56"/>
      <c r="B127" s="56"/>
      <c r="C127" s="63"/>
      <c r="D127" s="63"/>
      <c r="E127" s="56"/>
      <c r="F127" s="63"/>
      <c r="G127" s="57"/>
    </row>
    <row r="128" spans="1:7" x14ac:dyDescent="0.25">
      <c r="A128" s="58"/>
      <c r="B128" s="59"/>
      <c r="C128" s="65"/>
      <c r="D128" s="66"/>
      <c r="E128" s="100"/>
      <c r="F128" s="67"/>
      <c r="G128" s="68"/>
    </row>
    <row r="129" spans="1:7" x14ac:dyDescent="0.25">
      <c r="A129" s="58"/>
      <c r="B129" s="59"/>
      <c r="C129" s="65"/>
      <c r="D129" s="66"/>
      <c r="E129" s="100"/>
      <c r="F129" s="67"/>
      <c r="G129" s="68"/>
    </row>
    <row r="130" spans="1:7" ht="11.25" customHeight="1" x14ac:dyDescent="0.25"/>
    <row r="131" spans="1:7" hidden="1" x14ac:dyDescent="0.25">
      <c r="D131" s="96" t="s">
        <v>115</v>
      </c>
    </row>
    <row r="132" spans="1:7" ht="9.75" hidden="1" customHeight="1" x14ac:dyDescent="0.25"/>
    <row r="133" spans="1:7" ht="6.75" hidden="1" customHeight="1" x14ac:dyDescent="0.25"/>
    <row r="134" spans="1:7" s="97" customFormat="1" ht="12.75" hidden="1" customHeight="1" x14ac:dyDescent="0.25">
      <c r="A134" s="53"/>
      <c r="B134" s="53"/>
      <c r="C134" s="96"/>
      <c r="D134" s="96" t="s">
        <v>116</v>
      </c>
      <c r="E134" s="98"/>
      <c r="F134" s="96"/>
    </row>
    <row r="135" spans="1:7" s="97" customFormat="1" hidden="1" x14ac:dyDescent="0.25">
      <c r="A135" s="53"/>
      <c r="B135" s="53"/>
      <c r="C135" s="96"/>
      <c r="D135" s="96" t="s">
        <v>117</v>
      </c>
      <c r="E135" s="98"/>
      <c r="F135" s="96"/>
    </row>
  </sheetData>
  <autoFilter ref="A3:G129" xr:uid="{00000000-0009-0000-0000-000004000000}"/>
  <mergeCells count="5">
    <mergeCell ref="A1:G1"/>
    <mergeCell ref="C2:G2"/>
    <mergeCell ref="C16:D16"/>
    <mergeCell ref="C128:D128"/>
    <mergeCell ref="C129:D129"/>
  </mergeCells>
  <printOptions horizontalCentered="1"/>
  <pageMargins left="0.31496062992125984" right="0.31496062992125984" top="0.35433070866141736" bottom="0.35433070866141736" header="0.11811023622047245" footer="0.11811023622047245"/>
  <pageSetup paperSize="9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0012-F33D-4AA5-9802-3E2F707D8946}">
  <sheetPr>
    <pageSetUpPr fitToPage="1"/>
  </sheetPr>
  <dimension ref="A1:G65"/>
  <sheetViews>
    <sheetView view="pageBreakPreview" zoomScale="90" zoomScaleNormal="85" zoomScaleSheetLayoutView="90" workbookViewId="0">
      <pane xSplit="4" ySplit="3" topLeftCell="E4" activePane="bottomRight" state="frozen"/>
      <selection activeCell="G9" sqref="G9"/>
      <selection pane="topRight" activeCell="G9" sqref="G9"/>
      <selection pane="bottomLeft" activeCell="G9" sqref="G9"/>
      <selection pane="bottomRight" sqref="A1:G1"/>
    </sheetView>
  </sheetViews>
  <sheetFormatPr defaultRowHeight="15.75" x14ac:dyDescent="0.25"/>
  <cols>
    <col min="1" max="2" width="5.28515625" style="53" customWidth="1"/>
    <col min="3" max="3" width="31.28515625" style="96" customWidth="1"/>
    <col min="4" max="4" width="29.28515625" style="96" customWidth="1"/>
    <col min="5" max="6" width="16.140625" style="96" customWidth="1"/>
    <col min="7" max="7" width="16.85546875" style="97" bestFit="1" customWidth="1"/>
    <col min="8" max="16384" width="9.140625" style="53"/>
  </cols>
  <sheetData>
    <row r="1" spans="1:7" ht="40.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19.5" customHeight="1" x14ac:dyDescent="0.25">
      <c r="A2" s="54"/>
      <c r="B2" s="54"/>
      <c r="C2" s="55" t="s">
        <v>69</v>
      </c>
      <c r="D2" s="55"/>
      <c r="E2" s="55"/>
      <c r="F2" s="55"/>
      <c r="G2" s="55"/>
    </row>
    <row r="3" spans="1:7" ht="47.25" x14ac:dyDescent="0.25">
      <c r="A3" s="56" t="s">
        <v>0</v>
      </c>
      <c r="B3" s="56"/>
      <c r="C3" s="56" t="s">
        <v>1</v>
      </c>
      <c r="D3" s="56" t="s">
        <v>2</v>
      </c>
      <c r="E3" s="56" t="s">
        <v>3</v>
      </c>
      <c r="F3" s="56" t="s">
        <v>4</v>
      </c>
      <c r="G3" s="57" t="s">
        <v>5</v>
      </c>
    </row>
    <row r="4" spans="1:7" x14ac:dyDescent="0.25">
      <c r="A4" s="58"/>
      <c r="B4" s="59"/>
      <c r="C4" s="60" t="s">
        <v>284</v>
      </c>
      <c r="D4" s="61"/>
      <c r="E4" s="61"/>
      <c r="F4" s="61"/>
      <c r="G4" s="62"/>
    </row>
    <row r="5" spans="1:7" x14ac:dyDescent="0.25">
      <c r="A5" s="56">
        <v>44</v>
      </c>
      <c r="B5" s="56"/>
      <c r="C5" s="63" t="s">
        <v>141</v>
      </c>
      <c r="D5" s="63" t="s">
        <v>142</v>
      </c>
      <c r="E5" s="63"/>
      <c r="F5" s="63"/>
      <c r="G5" s="64">
        <f>36*120+50</f>
        <v>4370</v>
      </c>
    </row>
    <row r="6" spans="1:7" x14ac:dyDescent="0.25">
      <c r="A6" s="56">
        <f t="shared" ref="A6:A21" si="0">A5+1</f>
        <v>45</v>
      </c>
      <c r="B6" s="56"/>
      <c r="C6" s="63" t="s">
        <v>141</v>
      </c>
      <c r="D6" s="63" t="s">
        <v>142</v>
      </c>
      <c r="E6" s="63"/>
      <c r="F6" s="63"/>
      <c r="G6" s="64">
        <f>36*120+50</f>
        <v>4370</v>
      </c>
    </row>
    <row r="7" spans="1:7" x14ac:dyDescent="0.25">
      <c r="A7" s="56">
        <f t="shared" si="0"/>
        <v>46</v>
      </c>
      <c r="B7" s="56"/>
      <c r="C7" s="63" t="s">
        <v>143</v>
      </c>
      <c r="D7" s="63" t="s">
        <v>142</v>
      </c>
      <c r="E7" s="63"/>
      <c r="F7" s="63"/>
      <c r="G7" s="64">
        <f>36*120+50</f>
        <v>4370</v>
      </c>
    </row>
    <row r="8" spans="1:7" x14ac:dyDescent="0.25">
      <c r="A8" s="56">
        <f t="shared" si="0"/>
        <v>47</v>
      </c>
      <c r="B8" s="56"/>
      <c r="C8" s="63" t="s">
        <v>6</v>
      </c>
      <c r="D8" s="63" t="s">
        <v>144</v>
      </c>
      <c r="E8" s="63"/>
      <c r="F8" s="63"/>
      <c r="G8" s="64">
        <v>376</v>
      </c>
    </row>
    <row r="9" spans="1:7" x14ac:dyDescent="0.25">
      <c r="A9" s="56">
        <f t="shared" si="0"/>
        <v>48</v>
      </c>
      <c r="B9" s="56"/>
      <c r="C9" s="63" t="s">
        <v>145</v>
      </c>
      <c r="D9" s="95" t="s">
        <v>7</v>
      </c>
      <c r="E9" s="95"/>
      <c r="F9" s="95"/>
      <c r="G9" s="64">
        <v>427</v>
      </c>
    </row>
    <row r="10" spans="1:7" x14ac:dyDescent="0.25">
      <c r="A10" s="56">
        <f t="shared" si="0"/>
        <v>49</v>
      </c>
      <c r="B10" s="56"/>
      <c r="C10" s="63" t="s">
        <v>146</v>
      </c>
      <c r="D10" s="63" t="s">
        <v>147</v>
      </c>
      <c r="E10" s="63"/>
      <c r="F10" s="63"/>
      <c r="G10" s="64">
        <v>376</v>
      </c>
    </row>
    <row r="11" spans="1:7" x14ac:dyDescent="0.25">
      <c r="A11" s="56">
        <f t="shared" si="0"/>
        <v>50</v>
      </c>
      <c r="B11" s="56"/>
      <c r="C11" s="63" t="s">
        <v>146</v>
      </c>
      <c r="D11" s="63" t="s">
        <v>148</v>
      </c>
      <c r="E11" s="63"/>
      <c r="F11" s="63"/>
      <c r="G11" s="64">
        <v>57</v>
      </c>
    </row>
    <row r="12" spans="1:7" x14ac:dyDescent="0.25">
      <c r="A12" s="56">
        <f t="shared" si="0"/>
        <v>51</v>
      </c>
      <c r="B12" s="56"/>
      <c r="C12" s="63" t="s">
        <v>146</v>
      </c>
      <c r="D12" s="63" t="s">
        <v>149</v>
      </c>
      <c r="E12" s="63"/>
      <c r="F12" s="63"/>
      <c r="G12" s="64">
        <v>50</v>
      </c>
    </row>
    <row r="13" spans="1:7" x14ac:dyDescent="0.25">
      <c r="A13" s="56">
        <f t="shared" si="0"/>
        <v>52</v>
      </c>
      <c r="B13" s="56"/>
      <c r="C13" s="63" t="s">
        <v>143</v>
      </c>
      <c r="D13" s="63" t="s">
        <v>150</v>
      </c>
      <c r="E13" s="63"/>
      <c r="F13" s="63"/>
      <c r="G13" s="64">
        <f>36*120+50</f>
        <v>4370</v>
      </c>
    </row>
    <row r="14" spans="1:7" x14ac:dyDescent="0.25">
      <c r="A14" s="56">
        <f t="shared" si="0"/>
        <v>53</v>
      </c>
      <c r="B14" s="56"/>
      <c r="C14" s="63" t="s">
        <v>151</v>
      </c>
      <c r="D14" s="63" t="s">
        <v>151</v>
      </c>
      <c r="E14" s="63"/>
      <c r="F14" s="63"/>
      <c r="G14" s="64">
        <v>315</v>
      </c>
    </row>
    <row r="15" spans="1:7" x14ac:dyDescent="0.25">
      <c r="A15" s="56">
        <f t="shared" si="0"/>
        <v>54</v>
      </c>
      <c r="B15" s="56"/>
      <c r="C15" s="63" t="s">
        <v>143</v>
      </c>
      <c r="D15" s="63" t="s">
        <v>150</v>
      </c>
      <c r="E15" s="63"/>
      <c r="F15" s="63"/>
      <c r="G15" s="64">
        <f>36*120+50</f>
        <v>4370</v>
      </c>
    </row>
    <row r="16" spans="1:7" x14ac:dyDescent="0.25">
      <c r="A16" s="56">
        <f t="shared" si="0"/>
        <v>55</v>
      </c>
      <c r="B16" s="56"/>
      <c r="C16" s="63" t="s">
        <v>152</v>
      </c>
      <c r="D16" s="95" t="s">
        <v>153</v>
      </c>
      <c r="E16" s="95"/>
      <c r="F16" s="95"/>
      <c r="G16" s="57">
        <v>620</v>
      </c>
    </row>
    <row r="17" spans="1:7" x14ac:dyDescent="0.25">
      <c r="A17" s="56">
        <f t="shared" si="0"/>
        <v>56</v>
      </c>
      <c r="B17" s="56"/>
      <c r="C17" s="63" t="s">
        <v>152</v>
      </c>
      <c r="D17" s="95" t="s">
        <v>153</v>
      </c>
      <c r="E17" s="95"/>
      <c r="F17" s="95"/>
      <c r="G17" s="57">
        <v>620</v>
      </c>
    </row>
    <row r="18" spans="1:7" x14ac:dyDescent="0.25">
      <c r="A18" s="56">
        <f t="shared" si="0"/>
        <v>57</v>
      </c>
      <c r="B18" s="56"/>
      <c r="C18" s="63" t="s">
        <v>146</v>
      </c>
      <c r="D18" s="63" t="s">
        <v>154</v>
      </c>
      <c r="E18" s="63"/>
      <c r="F18" s="63"/>
      <c r="G18" s="57">
        <v>78</v>
      </c>
    </row>
    <row r="19" spans="1:7" x14ac:dyDescent="0.25">
      <c r="A19" s="56">
        <f t="shared" si="0"/>
        <v>58</v>
      </c>
      <c r="B19" s="56"/>
      <c r="C19" s="63" t="s">
        <v>155</v>
      </c>
      <c r="D19" s="63">
        <v>7</v>
      </c>
      <c r="E19" s="63"/>
      <c r="F19" s="63"/>
      <c r="G19" s="57">
        <v>1</v>
      </c>
    </row>
    <row r="20" spans="1:7" x14ac:dyDescent="0.25">
      <c r="A20" s="56">
        <f t="shared" si="0"/>
        <v>59</v>
      </c>
      <c r="B20" s="56"/>
      <c r="C20" s="63" t="s">
        <v>155</v>
      </c>
      <c r="D20" s="63">
        <v>8</v>
      </c>
      <c r="E20" s="63"/>
      <c r="F20" s="63"/>
      <c r="G20" s="57">
        <v>1</v>
      </c>
    </row>
    <row r="21" spans="1:7" x14ac:dyDescent="0.25">
      <c r="A21" s="56">
        <f t="shared" si="0"/>
        <v>60</v>
      </c>
      <c r="B21" s="56"/>
      <c r="C21" s="63" t="s">
        <v>155</v>
      </c>
      <c r="D21" s="63">
        <v>9</v>
      </c>
      <c r="E21" s="63"/>
      <c r="F21" s="63"/>
      <c r="G21" s="57">
        <v>1</v>
      </c>
    </row>
    <row r="22" spans="1:7" x14ac:dyDescent="0.25">
      <c r="A22" s="58"/>
      <c r="B22" s="59"/>
      <c r="C22" s="65" t="s">
        <v>283</v>
      </c>
      <c r="D22" s="66"/>
      <c r="E22" s="67"/>
      <c r="F22" s="67"/>
      <c r="G22" s="68">
        <f>SUM(G5:G21)</f>
        <v>24772</v>
      </c>
    </row>
    <row r="23" spans="1:7" ht="11.25" customHeight="1" x14ac:dyDescent="0.25">
      <c r="A23" s="112"/>
      <c r="B23" s="112"/>
      <c r="C23" s="113" t="s">
        <v>20</v>
      </c>
      <c r="D23" s="114"/>
      <c r="E23" s="114"/>
      <c r="F23" s="114"/>
      <c r="G23" s="64"/>
    </row>
    <row r="24" spans="1:7" ht="15.75" customHeight="1" x14ac:dyDescent="0.25">
      <c r="A24" s="112"/>
      <c r="B24" s="112"/>
      <c r="C24" s="114" t="s">
        <v>22</v>
      </c>
      <c r="D24" s="114"/>
      <c r="E24" s="114">
        <f>4+1.8+0.2+2.5*4</f>
        <v>16</v>
      </c>
      <c r="F24" s="114">
        <v>7.34</v>
      </c>
      <c r="G24" s="64">
        <f t="shared" ref="G24:G65" si="1">E24*F24</f>
        <v>117.44</v>
      </c>
    </row>
    <row r="25" spans="1:7" s="97" customFormat="1" ht="15.75" customHeight="1" x14ac:dyDescent="0.25">
      <c r="A25" s="112"/>
      <c r="B25" s="112"/>
      <c r="C25" s="114" t="s">
        <v>23</v>
      </c>
      <c r="D25" s="114"/>
      <c r="E25" s="114">
        <f>(1.8+0.3+0.5)*5</f>
        <v>13</v>
      </c>
      <c r="F25" s="114">
        <v>10.85</v>
      </c>
      <c r="G25" s="64">
        <f t="shared" si="1"/>
        <v>141.04999999999998</v>
      </c>
    </row>
    <row r="26" spans="1:7" s="97" customFormat="1" ht="15.75" customHeight="1" x14ac:dyDescent="0.25">
      <c r="A26" s="112"/>
      <c r="B26" s="112"/>
      <c r="C26" s="114" t="s">
        <v>46</v>
      </c>
      <c r="D26" s="114"/>
      <c r="E26" s="114">
        <v>1.9</v>
      </c>
      <c r="F26" s="114">
        <v>15.04</v>
      </c>
      <c r="G26" s="64">
        <f t="shared" si="1"/>
        <v>28.575999999999997</v>
      </c>
    </row>
    <row r="27" spans="1:7" s="97" customFormat="1" ht="15.75" customHeight="1" x14ac:dyDescent="0.25">
      <c r="A27" s="112"/>
      <c r="B27" s="112"/>
      <c r="C27" s="114" t="s">
        <v>24</v>
      </c>
      <c r="D27" s="114"/>
      <c r="E27" s="114">
        <f>3+1.1+0.4+0.5+0.4+1.1+2.7+5+1.7+7.7+3+2.2</f>
        <v>28.799999999999997</v>
      </c>
      <c r="F27" s="114">
        <v>15.88</v>
      </c>
      <c r="G27" s="64">
        <f t="shared" si="1"/>
        <v>457.34399999999999</v>
      </c>
    </row>
    <row r="28" spans="1:7" ht="15.75" customHeight="1" x14ac:dyDescent="0.25">
      <c r="A28" s="112"/>
      <c r="B28" s="112"/>
      <c r="C28" s="114" t="s">
        <v>47</v>
      </c>
      <c r="D28" s="114"/>
      <c r="E28" s="114">
        <f>0.6+1.2+4.1+1.9+2.7</f>
        <v>10.5</v>
      </c>
      <c r="F28" s="114">
        <v>41.628999999999998</v>
      </c>
      <c r="G28" s="64">
        <f t="shared" si="1"/>
        <v>437.10449999999997</v>
      </c>
    </row>
    <row r="29" spans="1:7" x14ac:dyDescent="0.25">
      <c r="A29" s="112"/>
      <c r="B29" s="112"/>
      <c r="C29" s="114" t="s">
        <v>26</v>
      </c>
      <c r="D29" s="114"/>
      <c r="E29" s="114">
        <v>1</v>
      </c>
      <c r="F29" s="114">
        <v>19</v>
      </c>
      <c r="G29" s="64">
        <f t="shared" si="1"/>
        <v>19</v>
      </c>
    </row>
    <row r="30" spans="1:7" x14ac:dyDescent="0.25">
      <c r="A30" s="112"/>
      <c r="B30" s="112"/>
      <c r="C30" s="114" t="s">
        <v>27</v>
      </c>
      <c r="D30" s="114"/>
      <c r="E30" s="114">
        <f>5+5</f>
        <v>10</v>
      </c>
      <c r="F30" s="114">
        <v>27</v>
      </c>
      <c r="G30" s="64">
        <f t="shared" si="1"/>
        <v>270</v>
      </c>
    </row>
    <row r="31" spans="1:7" x14ac:dyDescent="0.25">
      <c r="A31" s="112"/>
      <c r="B31" s="112"/>
      <c r="C31" s="114" t="s">
        <v>28</v>
      </c>
      <c r="D31" s="114"/>
      <c r="E31" s="114">
        <v>3</v>
      </c>
      <c r="F31" s="114">
        <v>58</v>
      </c>
      <c r="G31" s="64">
        <f t="shared" si="1"/>
        <v>174</v>
      </c>
    </row>
    <row r="32" spans="1:7" x14ac:dyDescent="0.25">
      <c r="A32" s="112"/>
      <c r="B32" s="112"/>
      <c r="C32" s="114" t="s">
        <v>156</v>
      </c>
      <c r="D32" s="114"/>
      <c r="E32" s="114">
        <v>1</v>
      </c>
      <c r="F32" s="114">
        <v>99</v>
      </c>
      <c r="G32" s="64">
        <f t="shared" si="1"/>
        <v>99</v>
      </c>
    </row>
    <row r="33" spans="1:7" x14ac:dyDescent="0.25">
      <c r="A33" s="112"/>
      <c r="B33" s="112"/>
      <c r="C33" s="114" t="s">
        <v>157</v>
      </c>
      <c r="D33" s="114"/>
      <c r="E33" s="114">
        <v>1</v>
      </c>
      <c r="F33" s="114">
        <v>7.9</v>
      </c>
      <c r="G33" s="64">
        <f t="shared" si="1"/>
        <v>7.9</v>
      </c>
    </row>
    <row r="34" spans="1:7" ht="31.5" x14ac:dyDescent="0.25">
      <c r="A34" s="112"/>
      <c r="B34" s="112"/>
      <c r="C34" s="63" t="s">
        <v>33</v>
      </c>
      <c r="D34" s="63" t="s">
        <v>34</v>
      </c>
      <c r="E34" s="63">
        <v>1</v>
      </c>
      <c r="F34" s="63">
        <v>72.7</v>
      </c>
      <c r="G34" s="91">
        <f t="shared" si="1"/>
        <v>72.7</v>
      </c>
    </row>
    <row r="35" spans="1:7" x14ac:dyDescent="0.25">
      <c r="A35" s="112"/>
      <c r="B35" s="112"/>
      <c r="C35" s="114" t="s">
        <v>126</v>
      </c>
      <c r="D35" s="114"/>
      <c r="E35" s="114">
        <v>1</v>
      </c>
      <c r="F35" s="114">
        <v>26</v>
      </c>
      <c r="G35" s="64">
        <f t="shared" si="1"/>
        <v>26</v>
      </c>
    </row>
    <row r="36" spans="1:7" x14ac:dyDescent="0.25">
      <c r="A36" s="112"/>
      <c r="B36" s="112"/>
      <c r="C36" s="114" t="s">
        <v>31</v>
      </c>
      <c r="D36" s="114" t="s">
        <v>32</v>
      </c>
      <c r="E36" s="114">
        <v>1</v>
      </c>
      <c r="F36" s="114">
        <v>17</v>
      </c>
      <c r="G36" s="64">
        <f t="shared" si="1"/>
        <v>17</v>
      </c>
    </row>
    <row r="37" spans="1:7" x14ac:dyDescent="0.25">
      <c r="A37" s="112"/>
      <c r="B37" s="112"/>
      <c r="C37" s="114" t="s">
        <v>35</v>
      </c>
      <c r="D37" s="114" t="s">
        <v>36</v>
      </c>
      <c r="E37" s="114">
        <v>1</v>
      </c>
      <c r="F37" s="114">
        <v>50</v>
      </c>
      <c r="G37" s="64">
        <f t="shared" si="1"/>
        <v>50</v>
      </c>
    </row>
    <row r="38" spans="1:7" x14ac:dyDescent="0.25">
      <c r="A38" s="112"/>
      <c r="B38" s="112"/>
      <c r="C38" s="114" t="s">
        <v>127</v>
      </c>
      <c r="D38" s="114" t="s">
        <v>128</v>
      </c>
      <c r="E38" s="114"/>
      <c r="F38" s="114">
        <v>23.55</v>
      </c>
      <c r="G38" s="64">
        <f t="shared" si="1"/>
        <v>0</v>
      </c>
    </row>
    <row r="39" spans="1:7" x14ac:dyDescent="0.25">
      <c r="A39" s="112"/>
      <c r="B39" s="112"/>
      <c r="C39" s="114" t="s">
        <v>97</v>
      </c>
      <c r="D39" s="114"/>
      <c r="E39" s="114"/>
      <c r="F39" s="114">
        <v>9</v>
      </c>
      <c r="G39" s="64">
        <f t="shared" si="1"/>
        <v>0</v>
      </c>
    </row>
    <row r="40" spans="1:7" x14ac:dyDescent="0.25">
      <c r="A40" s="112"/>
      <c r="B40" s="112"/>
      <c r="C40" s="114" t="s">
        <v>158</v>
      </c>
      <c r="D40" s="114"/>
      <c r="E40" s="114">
        <v>1</v>
      </c>
      <c r="F40" s="114">
        <v>2.6</v>
      </c>
      <c r="G40" s="64">
        <f t="shared" si="1"/>
        <v>2.6</v>
      </c>
    </row>
    <row r="41" spans="1:7" x14ac:dyDescent="0.25">
      <c r="A41" s="112"/>
      <c r="B41" s="112"/>
      <c r="C41" s="114" t="s">
        <v>159</v>
      </c>
      <c r="D41" s="114"/>
      <c r="E41" s="114">
        <v>1</v>
      </c>
      <c r="F41" s="114">
        <v>6.3</v>
      </c>
      <c r="G41" s="64">
        <f t="shared" si="1"/>
        <v>6.3</v>
      </c>
    </row>
    <row r="42" spans="1:7" x14ac:dyDescent="0.25">
      <c r="A42" s="112"/>
      <c r="B42" s="112"/>
      <c r="C42" s="114" t="s">
        <v>160</v>
      </c>
      <c r="D42" s="114"/>
      <c r="E42" s="114">
        <v>5</v>
      </c>
      <c r="F42" s="114">
        <v>20</v>
      </c>
      <c r="G42" s="64">
        <f t="shared" si="1"/>
        <v>100</v>
      </c>
    </row>
    <row r="43" spans="1:7" x14ac:dyDescent="0.25">
      <c r="A43" s="112"/>
      <c r="B43" s="112"/>
      <c r="C43" s="113" t="s">
        <v>45</v>
      </c>
      <c r="D43" s="114"/>
      <c r="E43" s="114"/>
      <c r="F43" s="114"/>
      <c r="G43" s="64"/>
    </row>
    <row r="44" spans="1:7" x14ac:dyDescent="0.25">
      <c r="A44" s="112"/>
      <c r="B44" s="112"/>
      <c r="C44" s="114" t="s">
        <v>21</v>
      </c>
      <c r="D44" s="114"/>
      <c r="E44" s="114">
        <f>1.5*3+6+2*24+3.5+4.5+0.7+0.4+1+0.5+0.7+1+1.1+0.9+0.7+0.5+0.3+1.1+0.5+0.9+0.5+0.5+0.3+1+0.6+0.5+0.4+0.5+1+1+1.3+0.5+0.5+0.8+0.5+0.7+0.4+0.7+0.3+0.4+0.7+0.6+0.5+1.6+2.3+8+8</f>
        <v>110.9</v>
      </c>
      <c r="F44" s="114">
        <v>4.62</v>
      </c>
      <c r="G44" s="64">
        <f t="shared" si="1"/>
        <v>512.35800000000006</v>
      </c>
    </row>
    <row r="45" spans="1:7" x14ac:dyDescent="0.25">
      <c r="A45" s="112"/>
      <c r="B45" s="112"/>
      <c r="C45" s="114" t="s">
        <v>22</v>
      </c>
      <c r="D45" s="114"/>
      <c r="E45" s="114">
        <f>2.5+3.52+3.2</f>
        <v>9.2199999999999989</v>
      </c>
      <c r="F45" s="114">
        <v>9.3800000000000008</v>
      </c>
      <c r="G45" s="64">
        <f t="shared" si="1"/>
        <v>86.483599999999996</v>
      </c>
    </row>
    <row r="46" spans="1:7" x14ac:dyDescent="0.25">
      <c r="A46" s="112"/>
      <c r="B46" s="112"/>
      <c r="C46" s="114" t="s">
        <v>23</v>
      </c>
      <c r="D46" s="114"/>
      <c r="E46" s="114">
        <f>0.5*3+1.5+4+1+0.5+0.7*3+10+6+24+3.8+1.8+2.7+1.3+1.5+1.2+2.5+24+2*2+2.8+(2.8+1.5)*3+2.8+(2.8+1.5)*3</f>
        <v>124.79999999999998</v>
      </c>
      <c r="F46" s="114">
        <v>10.26</v>
      </c>
      <c r="G46" s="64">
        <f t="shared" si="1"/>
        <v>1280.4479999999999</v>
      </c>
    </row>
    <row r="47" spans="1:7" x14ac:dyDescent="0.25">
      <c r="A47" s="112"/>
      <c r="B47" s="112"/>
      <c r="C47" s="114" t="s">
        <v>24</v>
      </c>
      <c r="D47" s="114"/>
      <c r="E47" s="114">
        <f>1+0.5+7.5+13.4+1+1.5+2*3+12+8+5+1.5+3.5+2.7+1.5+0.6+10+6+3+1.5+2.8</f>
        <v>88.999999999999986</v>
      </c>
      <c r="F47" s="114">
        <v>17.149999999999999</v>
      </c>
      <c r="G47" s="64">
        <f t="shared" si="1"/>
        <v>1526.3499999999997</v>
      </c>
    </row>
    <row r="48" spans="1:7" x14ac:dyDescent="0.25">
      <c r="A48" s="112"/>
      <c r="B48" s="112"/>
      <c r="C48" s="114" t="s">
        <v>47</v>
      </c>
      <c r="D48" s="114"/>
      <c r="E48" s="114">
        <f>6+1.7+2.5+0.3+3+1.7+1.6+2.4+3.2+0.5+2</f>
        <v>24.9</v>
      </c>
      <c r="F48" s="114">
        <v>41.628999999999998</v>
      </c>
      <c r="G48" s="64">
        <f t="shared" si="1"/>
        <v>1036.5620999999999</v>
      </c>
    </row>
    <row r="49" spans="1:7" x14ac:dyDescent="0.25">
      <c r="A49" s="112"/>
      <c r="B49" s="112"/>
      <c r="C49" s="114" t="s">
        <v>99</v>
      </c>
      <c r="D49" s="114"/>
      <c r="E49" s="114">
        <v>2.2000000000000002</v>
      </c>
      <c r="F49" s="114">
        <v>52.28</v>
      </c>
      <c r="G49" s="64">
        <f t="shared" si="1"/>
        <v>115.01600000000001</v>
      </c>
    </row>
    <row r="50" spans="1:7" x14ac:dyDescent="0.25">
      <c r="A50" s="112"/>
      <c r="B50" s="112"/>
      <c r="C50" s="114" t="s">
        <v>133</v>
      </c>
      <c r="D50" s="114"/>
      <c r="E50" s="114">
        <f>1+1+0.6</f>
        <v>2.6</v>
      </c>
      <c r="F50" s="114">
        <v>62.54</v>
      </c>
      <c r="G50" s="64">
        <f t="shared" si="1"/>
        <v>162.60400000000001</v>
      </c>
    </row>
    <row r="51" spans="1:7" x14ac:dyDescent="0.25">
      <c r="A51" s="112"/>
      <c r="B51" s="112"/>
      <c r="C51" s="114" t="s">
        <v>25</v>
      </c>
      <c r="D51" s="114"/>
      <c r="E51" s="114">
        <f>1+1+2+1+1</f>
        <v>6</v>
      </c>
      <c r="F51" s="114">
        <v>12.8</v>
      </c>
      <c r="G51" s="64">
        <f t="shared" si="1"/>
        <v>76.800000000000011</v>
      </c>
    </row>
    <row r="52" spans="1:7" x14ac:dyDescent="0.25">
      <c r="A52" s="112"/>
      <c r="B52" s="112"/>
      <c r="C52" s="114" t="s">
        <v>27</v>
      </c>
      <c r="D52" s="114"/>
      <c r="E52" s="114">
        <v>1</v>
      </c>
      <c r="F52" s="114">
        <v>27</v>
      </c>
      <c r="G52" s="64">
        <f t="shared" si="1"/>
        <v>27</v>
      </c>
    </row>
    <row r="53" spans="1:7" x14ac:dyDescent="0.25">
      <c r="A53" s="112"/>
      <c r="B53" s="112"/>
      <c r="C53" s="114" t="s">
        <v>28</v>
      </c>
      <c r="D53" s="114"/>
      <c r="E53" s="114">
        <f>3+3</f>
        <v>6</v>
      </c>
      <c r="F53" s="114">
        <v>58</v>
      </c>
      <c r="G53" s="64">
        <f t="shared" si="1"/>
        <v>348</v>
      </c>
    </row>
    <row r="54" spans="1:7" x14ac:dyDescent="0.25">
      <c r="A54" s="112"/>
      <c r="B54" s="112"/>
      <c r="C54" s="114" t="s">
        <v>161</v>
      </c>
      <c r="D54" s="114"/>
      <c r="E54" s="114">
        <v>1</v>
      </c>
      <c r="F54" s="114">
        <v>67.5</v>
      </c>
      <c r="G54" s="64">
        <f t="shared" si="1"/>
        <v>67.5</v>
      </c>
    </row>
    <row r="55" spans="1:7" x14ac:dyDescent="0.25">
      <c r="A55" s="112"/>
      <c r="B55" s="112"/>
      <c r="C55" s="114" t="s">
        <v>156</v>
      </c>
      <c r="D55" s="114"/>
      <c r="E55" s="114">
        <v>1</v>
      </c>
      <c r="F55" s="114">
        <v>99</v>
      </c>
      <c r="G55" s="64">
        <f t="shared" si="1"/>
        <v>99</v>
      </c>
    </row>
    <row r="56" spans="1:7" x14ac:dyDescent="0.25">
      <c r="A56" s="112"/>
      <c r="B56" s="112"/>
      <c r="C56" s="114" t="s">
        <v>48</v>
      </c>
      <c r="D56" s="114"/>
      <c r="E56" s="114">
        <f>1+1+2+1+1+1+1+1+1+2+1+1</f>
        <v>14</v>
      </c>
      <c r="F56" s="114">
        <v>8.5</v>
      </c>
      <c r="G56" s="64">
        <f t="shared" si="1"/>
        <v>119</v>
      </c>
    </row>
    <row r="57" spans="1:7" x14ac:dyDescent="0.25">
      <c r="A57" s="112"/>
      <c r="B57" s="112"/>
      <c r="C57" s="114" t="s">
        <v>49</v>
      </c>
      <c r="D57" s="114"/>
      <c r="E57" s="114">
        <f>1+1</f>
        <v>2</v>
      </c>
      <c r="F57" s="114">
        <v>12.9</v>
      </c>
      <c r="G57" s="64">
        <f t="shared" si="1"/>
        <v>25.8</v>
      </c>
    </row>
    <row r="58" spans="1:7" x14ac:dyDescent="0.25">
      <c r="A58" s="112"/>
      <c r="B58" s="112"/>
      <c r="C58" s="114" t="s">
        <v>50</v>
      </c>
      <c r="D58" s="114"/>
      <c r="E58" s="114">
        <v>1</v>
      </c>
      <c r="F58" s="114">
        <v>27.2</v>
      </c>
      <c r="G58" s="64">
        <f t="shared" si="1"/>
        <v>27.2</v>
      </c>
    </row>
    <row r="59" spans="1:7" x14ac:dyDescent="0.25">
      <c r="A59" s="112"/>
      <c r="B59" s="112"/>
      <c r="C59" s="114" t="s">
        <v>51</v>
      </c>
      <c r="D59" s="114"/>
      <c r="E59" s="114">
        <f>4+2+1+3+1</f>
        <v>11</v>
      </c>
      <c r="F59" s="114">
        <v>27.4</v>
      </c>
      <c r="G59" s="64">
        <f t="shared" si="1"/>
        <v>301.39999999999998</v>
      </c>
    </row>
    <row r="60" spans="1:7" x14ac:dyDescent="0.25">
      <c r="A60" s="112"/>
      <c r="B60" s="112"/>
      <c r="C60" s="114" t="s">
        <v>66</v>
      </c>
      <c r="D60" s="114"/>
      <c r="E60" s="114">
        <v>3</v>
      </c>
      <c r="F60" s="114">
        <v>9</v>
      </c>
      <c r="G60" s="64">
        <f t="shared" si="1"/>
        <v>27</v>
      </c>
    </row>
    <row r="61" spans="1:7" x14ac:dyDescent="0.25">
      <c r="A61" s="112"/>
      <c r="B61" s="112"/>
      <c r="C61" s="114" t="s">
        <v>112</v>
      </c>
      <c r="D61" s="114"/>
      <c r="E61" s="114">
        <f>1+3</f>
        <v>4</v>
      </c>
      <c r="F61" s="114">
        <v>45.5</v>
      </c>
      <c r="G61" s="64">
        <f t="shared" si="1"/>
        <v>182</v>
      </c>
    </row>
    <row r="62" spans="1:7" x14ac:dyDescent="0.25">
      <c r="A62" s="112"/>
      <c r="B62" s="112"/>
      <c r="C62" s="114" t="s">
        <v>105</v>
      </c>
      <c r="D62" s="114"/>
      <c r="E62" s="114">
        <v>1</v>
      </c>
      <c r="F62" s="114">
        <v>20</v>
      </c>
      <c r="G62" s="64">
        <f t="shared" si="1"/>
        <v>20</v>
      </c>
    </row>
    <row r="63" spans="1:7" x14ac:dyDescent="0.25">
      <c r="A63" s="112"/>
      <c r="B63" s="112"/>
      <c r="C63" s="114" t="s">
        <v>95</v>
      </c>
      <c r="D63" s="114"/>
      <c r="E63" s="114">
        <v>2</v>
      </c>
      <c r="F63" s="114">
        <v>27</v>
      </c>
      <c r="G63" s="64">
        <f t="shared" si="1"/>
        <v>54</v>
      </c>
    </row>
    <row r="64" spans="1:7" x14ac:dyDescent="0.25">
      <c r="A64" s="112"/>
      <c r="B64" s="112"/>
      <c r="C64" s="114" t="s">
        <v>162</v>
      </c>
      <c r="D64" s="114" t="s">
        <v>163</v>
      </c>
      <c r="E64" s="114">
        <f>2*3.14*0.45*0.45+2*3.14*0.45*2.5</f>
        <v>8.3367000000000004</v>
      </c>
      <c r="F64" s="114">
        <v>23.55</v>
      </c>
      <c r="G64" s="64">
        <f t="shared" si="1"/>
        <v>196.32928500000003</v>
      </c>
    </row>
    <row r="65" spans="1:7" x14ac:dyDescent="0.25">
      <c r="A65" s="112"/>
      <c r="B65" s="112"/>
      <c r="C65" s="114" t="s">
        <v>164</v>
      </c>
      <c r="D65" s="114"/>
      <c r="E65" s="114">
        <v>7</v>
      </c>
      <c r="F65" s="114">
        <v>18.399999999999999</v>
      </c>
      <c r="G65" s="64">
        <f t="shared" si="1"/>
        <v>128.79999999999998</v>
      </c>
    </row>
  </sheetData>
  <autoFilter ref="A3:G22" xr:uid="{00000000-0009-0000-0000-000005000000}"/>
  <mergeCells count="3">
    <mergeCell ref="A1:G1"/>
    <mergeCell ref="C2:G2"/>
    <mergeCell ref="C22:D22"/>
  </mergeCells>
  <printOptions horizontalCentered="1"/>
  <pageMargins left="0.31496062992125984" right="0.31496062992125984" top="0.35433070866141736" bottom="0.35433070866141736" header="0.11811023622047245" footer="0.11811023622047245"/>
  <pageSetup paperSize="9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E176-049E-4550-BBA0-3508DC968F78}">
  <sheetPr>
    <pageSetUpPr fitToPage="1"/>
  </sheetPr>
  <dimension ref="A1:G96"/>
  <sheetViews>
    <sheetView view="pageBreakPreview" zoomScale="90" zoomScaleNormal="85" zoomScaleSheetLayoutView="90" workbookViewId="0">
      <pane xSplit="4" ySplit="3" topLeftCell="E4" activePane="bottomRight" state="frozen"/>
      <selection activeCell="G9" sqref="G9"/>
      <selection pane="topRight" activeCell="G9" sqref="G9"/>
      <selection pane="bottomLeft" activeCell="G9" sqref="G9"/>
      <selection pane="bottomRight" sqref="A1:G1"/>
    </sheetView>
  </sheetViews>
  <sheetFormatPr defaultRowHeight="15.75" x14ac:dyDescent="0.25"/>
  <cols>
    <col min="1" max="2" width="5.28515625" style="53" customWidth="1"/>
    <col min="3" max="3" width="30.7109375" style="96" customWidth="1"/>
    <col min="4" max="4" width="33.5703125" style="96" customWidth="1"/>
    <col min="5" max="6" width="16.140625" style="96" customWidth="1"/>
    <col min="7" max="7" width="16.85546875" style="97" bestFit="1" customWidth="1"/>
    <col min="8" max="16384" width="9.140625" style="53"/>
  </cols>
  <sheetData>
    <row r="1" spans="1:7" ht="26.2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19.5" customHeight="1" x14ac:dyDescent="0.25">
      <c r="A2" s="54"/>
      <c r="B2" s="54"/>
      <c r="C2" s="115"/>
      <c r="D2" s="115"/>
      <c r="E2" s="115"/>
      <c r="F2" s="115"/>
      <c r="G2" s="115"/>
    </row>
    <row r="3" spans="1:7" ht="45.75" customHeight="1" x14ac:dyDescent="0.25">
      <c r="A3" s="56" t="s">
        <v>0</v>
      </c>
      <c r="B3" s="56"/>
      <c r="C3" s="56" t="s">
        <v>1</v>
      </c>
      <c r="D3" s="56" t="s">
        <v>2</v>
      </c>
      <c r="E3" s="56" t="s">
        <v>3</v>
      </c>
      <c r="F3" s="56" t="s">
        <v>4</v>
      </c>
      <c r="G3" s="57" t="s">
        <v>5</v>
      </c>
    </row>
    <row r="4" spans="1:7" ht="21" x14ac:dyDescent="0.25">
      <c r="A4" s="80" t="s">
        <v>165</v>
      </c>
      <c r="B4" s="81"/>
      <c r="C4" s="81"/>
      <c r="D4" s="81"/>
      <c r="E4" s="81"/>
      <c r="F4" s="81"/>
      <c r="G4" s="81"/>
    </row>
    <row r="5" spans="1:7" x14ac:dyDescent="0.25">
      <c r="A5" s="58"/>
      <c r="B5" s="59"/>
      <c r="C5" s="60" t="s">
        <v>285</v>
      </c>
      <c r="D5" s="61"/>
      <c r="E5" s="61"/>
      <c r="F5" s="61"/>
      <c r="G5" s="62"/>
    </row>
    <row r="6" spans="1:7" ht="15" customHeight="1" x14ac:dyDescent="0.25">
      <c r="A6" s="56">
        <v>36</v>
      </c>
      <c r="B6" s="56">
        <v>1</v>
      </c>
      <c r="C6" s="63" t="s">
        <v>11</v>
      </c>
      <c r="D6" s="63" t="s">
        <v>166</v>
      </c>
      <c r="E6" s="63"/>
      <c r="F6" s="63"/>
      <c r="G6" s="57">
        <v>2900</v>
      </c>
    </row>
    <row r="7" spans="1:7" ht="15" customHeight="1" x14ac:dyDescent="0.25">
      <c r="A7" s="56">
        <f t="shared" ref="A7:A13" si="0">A6+1</f>
        <v>37</v>
      </c>
      <c r="B7" s="56">
        <v>2</v>
      </c>
      <c r="C7" s="63" t="s">
        <v>167</v>
      </c>
      <c r="D7" s="63" t="s">
        <v>166</v>
      </c>
      <c r="E7" s="63"/>
      <c r="F7" s="63"/>
      <c r="G7" s="57">
        <v>2900</v>
      </c>
    </row>
    <row r="8" spans="1:7" ht="15" customHeight="1" x14ac:dyDescent="0.25">
      <c r="A8" s="56">
        <f t="shared" si="0"/>
        <v>38</v>
      </c>
      <c r="B8" s="56">
        <v>3</v>
      </c>
      <c r="C8" s="63" t="s">
        <v>11</v>
      </c>
      <c r="D8" s="63" t="s">
        <v>168</v>
      </c>
      <c r="E8" s="63"/>
      <c r="F8" s="63"/>
      <c r="G8" s="64">
        <f t="shared" ref="G8:G13" si="1">36*120+50</f>
        <v>4370</v>
      </c>
    </row>
    <row r="9" spans="1:7" ht="15" customHeight="1" x14ac:dyDescent="0.25">
      <c r="A9" s="56">
        <f t="shared" si="0"/>
        <v>39</v>
      </c>
      <c r="B9" s="56">
        <v>4</v>
      </c>
      <c r="C9" s="63" t="s">
        <v>11</v>
      </c>
      <c r="D9" s="63" t="s">
        <v>168</v>
      </c>
      <c r="E9" s="63"/>
      <c r="F9" s="63"/>
      <c r="G9" s="64">
        <f t="shared" si="1"/>
        <v>4370</v>
      </c>
    </row>
    <row r="10" spans="1:7" ht="15" customHeight="1" x14ac:dyDescent="0.25">
      <c r="A10" s="56">
        <f t="shared" si="0"/>
        <v>40</v>
      </c>
      <c r="B10" s="56">
        <v>5</v>
      </c>
      <c r="C10" s="63" t="s">
        <v>11</v>
      </c>
      <c r="D10" s="63" t="s">
        <v>169</v>
      </c>
      <c r="E10" s="63"/>
      <c r="F10" s="63"/>
      <c r="G10" s="64">
        <f t="shared" si="1"/>
        <v>4370</v>
      </c>
    </row>
    <row r="11" spans="1:7" ht="15" customHeight="1" x14ac:dyDescent="0.25">
      <c r="A11" s="56">
        <f t="shared" si="0"/>
        <v>41</v>
      </c>
      <c r="B11" s="56">
        <v>6</v>
      </c>
      <c r="C11" s="63" t="s">
        <v>11</v>
      </c>
      <c r="D11" s="95" t="s">
        <v>170</v>
      </c>
      <c r="E11" s="95"/>
      <c r="F11" s="95"/>
      <c r="G11" s="64">
        <f t="shared" si="1"/>
        <v>4370</v>
      </c>
    </row>
    <row r="12" spans="1:7" ht="15" customHeight="1" x14ac:dyDescent="0.25">
      <c r="A12" s="56">
        <f t="shared" si="0"/>
        <v>42</v>
      </c>
      <c r="B12" s="56">
        <v>7</v>
      </c>
      <c r="C12" s="63" t="s">
        <v>11</v>
      </c>
      <c r="D12" s="63" t="s">
        <v>170</v>
      </c>
      <c r="E12" s="63"/>
      <c r="F12" s="63"/>
      <c r="G12" s="64">
        <f t="shared" si="1"/>
        <v>4370</v>
      </c>
    </row>
    <row r="13" spans="1:7" ht="15" customHeight="1" x14ac:dyDescent="0.25">
      <c r="A13" s="56">
        <f t="shared" si="0"/>
        <v>43</v>
      </c>
      <c r="B13" s="56">
        <v>8</v>
      </c>
      <c r="C13" s="63" t="s">
        <v>11</v>
      </c>
      <c r="D13" s="63" t="s">
        <v>170</v>
      </c>
      <c r="E13" s="63"/>
      <c r="F13" s="63"/>
      <c r="G13" s="64">
        <f t="shared" si="1"/>
        <v>4370</v>
      </c>
    </row>
    <row r="14" spans="1:7" s="108" customFormat="1" ht="21" x14ac:dyDescent="0.25">
      <c r="A14" s="83"/>
      <c r="B14" s="107"/>
      <c r="C14" s="116" t="s">
        <v>286</v>
      </c>
      <c r="D14" s="117"/>
      <c r="E14" s="118"/>
      <c r="F14" s="118"/>
      <c r="G14" s="86">
        <f>SUM(G6:G13)</f>
        <v>32020</v>
      </c>
    </row>
    <row r="15" spans="1:7" s="108" customFormat="1" ht="14.25" customHeight="1" x14ac:dyDescent="0.25">
      <c r="A15" s="83"/>
      <c r="B15" s="107"/>
      <c r="C15" s="69" t="s">
        <v>20</v>
      </c>
      <c r="D15" s="61"/>
      <c r="E15" s="61"/>
      <c r="F15" s="61"/>
      <c r="G15" s="62"/>
    </row>
    <row r="16" spans="1:7" s="108" customFormat="1" ht="14.25" customHeight="1" x14ac:dyDescent="0.25">
      <c r="A16" s="83"/>
      <c r="B16" s="107"/>
      <c r="C16" s="63" t="s">
        <v>171</v>
      </c>
      <c r="D16" s="63"/>
      <c r="E16" s="63">
        <v>21</v>
      </c>
      <c r="F16" s="63">
        <v>2.12</v>
      </c>
      <c r="G16" s="70">
        <f t="shared" ref="G16:G32" si="2">E16*F16</f>
        <v>44.52</v>
      </c>
    </row>
    <row r="17" spans="1:7" s="108" customFormat="1" ht="14.25" customHeight="1" x14ac:dyDescent="0.25">
      <c r="A17" s="83"/>
      <c r="B17" s="107"/>
      <c r="C17" s="63" t="s">
        <v>21</v>
      </c>
      <c r="D17" s="63"/>
      <c r="E17" s="71">
        <f>2.1+1.7+(1.2+1.4)*8</f>
        <v>24.599999999999998</v>
      </c>
      <c r="F17" s="63">
        <v>4.22</v>
      </c>
      <c r="G17" s="70">
        <f t="shared" si="2"/>
        <v>103.81199999999998</v>
      </c>
    </row>
    <row r="18" spans="1:7" s="108" customFormat="1" ht="14.25" customHeight="1" x14ac:dyDescent="0.25">
      <c r="A18" s="83"/>
      <c r="B18" s="107"/>
      <c r="C18" s="63" t="s">
        <v>23</v>
      </c>
      <c r="D18" s="63"/>
      <c r="E18" s="71">
        <f>3.4+1.5+3+0.7+1.7+2.4+4</f>
        <v>16.7</v>
      </c>
      <c r="F18" s="63">
        <v>10.85</v>
      </c>
      <c r="G18" s="70">
        <f t="shared" si="2"/>
        <v>181.19499999999999</v>
      </c>
    </row>
    <row r="19" spans="1:7" s="108" customFormat="1" ht="14.25" customHeight="1" x14ac:dyDescent="0.25">
      <c r="A19" s="83"/>
      <c r="B19" s="107"/>
      <c r="C19" s="63" t="s">
        <v>24</v>
      </c>
      <c r="D19" s="73"/>
      <c r="E19" s="71">
        <f>2.5+1.2+2.5+1.5+4.2+0.6+0.6+5+6+6+4</f>
        <v>34.1</v>
      </c>
      <c r="F19" s="74">
        <v>15.88</v>
      </c>
      <c r="G19" s="70">
        <f t="shared" si="2"/>
        <v>541.50800000000004</v>
      </c>
    </row>
    <row r="20" spans="1:7" s="108" customFormat="1" ht="14.25" customHeight="1" x14ac:dyDescent="0.25">
      <c r="A20" s="83"/>
      <c r="B20" s="107"/>
      <c r="C20" s="63" t="s">
        <v>47</v>
      </c>
      <c r="D20" s="73"/>
      <c r="E20" s="71">
        <f>1.6+0.6</f>
        <v>2.2000000000000002</v>
      </c>
      <c r="F20" s="74">
        <v>41.628999999999998</v>
      </c>
      <c r="G20" s="70">
        <f t="shared" si="2"/>
        <v>91.583799999999997</v>
      </c>
    </row>
    <row r="21" spans="1:7" s="108" customFormat="1" ht="14.25" customHeight="1" x14ac:dyDescent="0.25">
      <c r="A21" s="83"/>
      <c r="B21" s="107"/>
      <c r="C21" s="72" t="s">
        <v>25</v>
      </c>
      <c r="D21" s="75"/>
      <c r="E21" s="75">
        <v>9</v>
      </c>
      <c r="F21" s="75">
        <v>12.8</v>
      </c>
      <c r="G21" s="70">
        <f t="shared" si="2"/>
        <v>115.2</v>
      </c>
    </row>
    <row r="22" spans="1:7" s="108" customFormat="1" ht="14.25" customHeight="1" x14ac:dyDescent="0.25">
      <c r="A22" s="83"/>
      <c r="B22" s="107"/>
      <c r="C22" s="76" t="s">
        <v>27</v>
      </c>
      <c r="D22" s="63"/>
      <c r="E22" s="63">
        <v>7</v>
      </c>
      <c r="F22" s="63">
        <v>27</v>
      </c>
      <c r="G22" s="70">
        <f t="shared" si="2"/>
        <v>189</v>
      </c>
    </row>
    <row r="23" spans="1:7" s="108" customFormat="1" ht="14.25" customHeight="1" x14ac:dyDescent="0.25">
      <c r="A23" s="83"/>
      <c r="B23" s="107"/>
      <c r="C23" s="76" t="s">
        <v>156</v>
      </c>
      <c r="D23" s="71"/>
      <c r="E23" s="71">
        <v>1</v>
      </c>
      <c r="F23" s="71">
        <v>69.5</v>
      </c>
      <c r="G23" s="70">
        <f t="shared" si="2"/>
        <v>69.5</v>
      </c>
    </row>
    <row r="24" spans="1:7" s="108" customFormat="1" ht="14.25" customHeight="1" x14ac:dyDescent="0.25">
      <c r="A24" s="83"/>
      <c r="B24" s="107"/>
      <c r="C24" s="71" t="s">
        <v>172</v>
      </c>
      <c r="D24" s="63"/>
      <c r="E24" s="63">
        <v>1</v>
      </c>
      <c r="F24" s="63">
        <v>90</v>
      </c>
      <c r="G24" s="70">
        <f t="shared" si="2"/>
        <v>90</v>
      </c>
    </row>
    <row r="25" spans="1:7" s="108" customFormat="1" ht="14.25" customHeight="1" x14ac:dyDescent="0.25">
      <c r="A25" s="83"/>
      <c r="B25" s="107"/>
      <c r="C25" s="71" t="s">
        <v>173</v>
      </c>
      <c r="D25" s="63"/>
      <c r="E25" s="63">
        <v>1</v>
      </c>
      <c r="F25" s="63">
        <v>17</v>
      </c>
      <c r="G25" s="70">
        <f t="shared" si="2"/>
        <v>17</v>
      </c>
    </row>
    <row r="26" spans="1:7" s="108" customFormat="1" ht="14.25" customHeight="1" x14ac:dyDescent="0.25">
      <c r="A26" s="83"/>
      <c r="B26" s="107"/>
      <c r="C26" s="63" t="s">
        <v>86</v>
      </c>
      <c r="D26" s="63" t="s">
        <v>174</v>
      </c>
      <c r="E26" s="63">
        <v>1</v>
      </c>
      <c r="F26" s="63">
        <v>52.5</v>
      </c>
      <c r="G26" s="70">
        <f t="shared" si="2"/>
        <v>52.5</v>
      </c>
    </row>
    <row r="27" spans="1:7" s="108" customFormat="1" ht="14.25" customHeight="1" x14ac:dyDescent="0.25">
      <c r="A27" s="83"/>
      <c r="B27" s="107"/>
      <c r="C27" s="63" t="s">
        <v>35</v>
      </c>
      <c r="D27" s="63" t="s">
        <v>36</v>
      </c>
      <c r="E27" s="63">
        <v>1</v>
      </c>
      <c r="F27" s="63">
        <v>50</v>
      </c>
      <c r="G27" s="70">
        <f t="shared" si="2"/>
        <v>50</v>
      </c>
    </row>
    <row r="28" spans="1:7" s="108" customFormat="1" ht="14.25" customHeight="1" x14ac:dyDescent="0.25">
      <c r="A28" s="83"/>
      <c r="B28" s="107"/>
      <c r="C28" s="63" t="s">
        <v>89</v>
      </c>
      <c r="D28" s="63" t="s">
        <v>175</v>
      </c>
      <c r="E28" s="71">
        <f>2*3.14*0.175*0.25+1.33*0.6</f>
        <v>1.0727500000000001</v>
      </c>
      <c r="F28" s="63">
        <v>23.55</v>
      </c>
      <c r="G28" s="70">
        <f t="shared" si="2"/>
        <v>25.263262500000003</v>
      </c>
    </row>
    <row r="29" spans="1:7" s="108" customFormat="1" ht="14.25" customHeight="1" x14ac:dyDescent="0.25">
      <c r="A29" s="83"/>
      <c r="B29" s="107"/>
      <c r="C29" s="63" t="s">
        <v>176</v>
      </c>
      <c r="D29" s="63" t="s">
        <v>177</v>
      </c>
      <c r="E29" s="63">
        <v>16</v>
      </c>
      <c r="F29" s="63">
        <v>3.71</v>
      </c>
      <c r="G29" s="70">
        <f t="shared" si="2"/>
        <v>59.36</v>
      </c>
    </row>
    <row r="30" spans="1:7" s="108" customFormat="1" ht="14.25" customHeight="1" x14ac:dyDescent="0.25">
      <c r="A30" s="83"/>
      <c r="B30" s="107"/>
      <c r="C30" s="63" t="s">
        <v>178</v>
      </c>
      <c r="D30" s="63" t="s">
        <v>179</v>
      </c>
      <c r="E30" s="63">
        <f>0.7*6</f>
        <v>4.1999999999999993</v>
      </c>
      <c r="F30" s="63">
        <v>10.06</v>
      </c>
      <c r="G30" s="70">
        <f t="shared" si="2"/>
        <v>42.251999999999995</v>
      </c>
    </row>
    <row r="31" spans="1:7" s="108" customFormat="1" ht="14.25" customHeight="1" x14ac:dyDescent="0.25">
      <c r="A31" s="83"/>
      <c r="B31" s="107"/>
      <c r="C31" s="77" t="s">
        <v>97</v>
      </c>
      <c r="D31" s="71" t="s">
        <v>180</v>
      </c>
      <c r="E31" s="71">
        <v>16</v>
      </c>
      <c r="F31" s="71">
        <v>9</v>
      </c>
      <c r="G31" s="70">
        <f t="shared" si="2"/>
        <v>144</v>
      </c>
    </row>
    <row r="32" spans="1:7" s="108" customFormat="1" ht="16.5" customHeight="1" x14ac:dyDescent="0.25">
      <c r="A32" s="83"/>
      <c r="B32" s="107"/>
      <c r="C32" s="71" t="s">
        <v>181</v>
      </c>
      <c r="D32" s="71" t="s">
        <v>182</v>
      </c>
      <c r="E32" s="71">
        <f>2*3.14*0.25*0.25+2*3.14*0.25*0.6</f>
        <v>1.3345</v>
      </c>
      <c r="F32" s="71">
        <v>23.55</v>
      </c>
      <c r="G32" s="70">
        <f t="shared" si="2"/>
        <v>31.427475000000001</v>
      </c>
    </row>
    <row r="33" spans="1:7" s="108" customFormat="1" ht="14.25" customHeight="1" x14ac:dyDescent="0.25">
      <c r="A33" s="83"/>
      <c r="B33" s="107"/>
      <c r="C33" s="88" t="s">
        <v>45</v>
      </c>
      <c r="D33" s="71"/>
      <c r="E33" s="71"/>
      <c r="F33" s="71"/>
      <c r="G33" s="70"/>
    </row>
    <row r="34" spans="1:7" s="108" customFormat="1" ht="14.25" customHeight="1" x14ac:dyDescent="0.25">
      <c r="A34" s="83"/>
      <c r="B34" s="107"/>
      <c r="C34" s="71" t="s">
        <v>171</v>
      </c>
      <c r="D34" s="71"/>
      <c r="E34" s="71">
        <v>11.2</v>
      </c>
      <c r="F34" s="71">
        <v>1.24</v>
      </c>
      <c r="G34" s="70">
        <f>E34*F34</f>
        <v>13.888</v>
      </c>
    </row>
    <row r="35" spans="1:7" s="108" customFormat="1" ht="14.25" customHeight="1" x14ac:dyDescent="0.25">
      <c r="A35" s="83"/>
      <c r="B35" s="107"/>
      <c r="C35" s="71" t="s">
        <v>183</v>
      </c>
      <c r="D35" s="71"/>
      <c r="E35" s="71">
        <v>11.2</v>
      </c>
      <c r="F35" s="71">
        <v>2</v>
      </c>
      <c r="G35" s="70">
        <f>E35*F35</f>
        <v>22.4</v>
      </c>
    </row>
    <row r="36" spans="1:7" s="108" customFormat="1" ht="14.25" customHeight="1" x14ac:dyDescent="0.25">
      <c r="A36" s="83"/>
      <c r="B36" s="107"/>
      <c r="C36" s="71" t="s">
        <v>184</v>
      </c>
      <c r="D36" s="71"/>
      <c r="E36" s="71">
        <v>27.4</v>
      </c>
      <c r="F36" s="71">
        <v>2.74</v>
      </c>
      <c r="G36" s="70">
        <f>E36*F36</f>
        <v>75.076000000000008</v>
      </c>
    </row>
    <row r="37" spans="1:7" ht="12.75" customHeight="1" x14ac:dyDescent="0.25">
      <c r="A37" s="58"/>
      <c r="B37" s="87"/>
      <c r="C37" s="71" t="s">
        <v>21</v>
      </c>
      <c r="D37" s="71"/>
      <c r="E37" s="71">
        <v>85.4</v>
      </c>
      <c r="F37" s="71">
        <v>4.62</v>
      </c>
      <c r="G37" s="70">
        <f t="shared" ref="G37:G84" si="3">E37*F37</f>
        <v>394.54800000000006</v>
      </c>
    </row>
    <row r="38" spans="1:7" ht="12.75" customHeight="1" x14ac:dyDescent="0.25">
      <c r="A38" s="58"/>
      <c r="B38" s="87"/>
      <c r="C38" s="71" t="s">
        <v>185</v>
      </c>
      <c r="D38" s="71"/>
      <c r="E38" s="71">
        <v>18</v>
      </c>
      <c r="F38" s="71">
        <v>5.4</v>
      </c>
      <c r="G38" s="70">
        <f t="shared" si="3"/>
        <v>97.2</v>
      </c>
    </row>
    <row r="39" spans="1:7" ht="12.75" customHeight="1" x14ac:dyDescent="0.25">
      <c r="A39" s="58"/>
      <c r="B39" s="87"/>
      <c r="C39" s="71" t="s">
        <v>22</v>
      </c>
      <c r="D39" s="71"/>
      <c r="E39" s="71">
        <v>17.100000000000001</v>
      </c>
      <c r="F39" s="71">
        <v>7.38</v>
      </c>
      <c r="G39" s="70">
        <f t="shared" si="3"/>
        <v>126.19800000000001</v>
      </c>
    </row>
    <row r="40" spans="1:7" ht="12.75" customHeight="1" x14ac:dyDescent="0.25">
      <c r="A40" s="58"/>
      <c r="B40" s="87"/>
      <c r="C40" s="71" t="s">
        <v>23</v>
      </c>
      <c r="D40" s="71"/>
      <c r="E40" s="71">
        <v>70.3</v>
      </c>
      <c r="F40" s="71">
        <v>10.26</v>
      </c>
      <c r="G40" s="70">
        <f t="shared" si="3"/>
        <v>721.27799999999991</v>
      </c>
    </row>
    <row r="41" spans="1:7" ht="12.75" customHeight="1" x14ac:dyDescent="0.25">
      <c r="A41" s="58"/>
      <c r="B41" s="87"/>
      <c r="C41" s="71" t="s">
        <v>24</v>
      </c>
      <c r="D41" s="71"/>
      <c r="E41" s="71">
        <v>11.149999999999999</v>
      </c>
      <c r="F41" s="71">
        <v>17.149999999999999</v>
      </c>
      <c r="G41" s="70">
        <f t="shared" si="3"/>
        <v>191.22249999999997</v>
      </c>
    </row>
    <row r="42" spans="1:7" ht="12.75" customHeight="1" x14ac:dyDescent="0.25">
      <c r="A42" s="58"/>
      <c r="B42" s="87"/>
      <c r="C42" s="71" t="s">
        <v>47</v>
      </c>
      <c r="D42" s="71"/>
      <c r="E42" s="71">
        <v>79.8</v>
      </c>
      <c r="F42" s="71">
        <v>41.628999999999998</v>
      </c>
      <c r="G42" s="70">
        <f t="shared" si="3"/>
        <v>3321.9941999999996</v>
      </c>
    </row>
    <row r="43" spans="1:7" ht="12.75" customHeight="1" x14ac:dyDescent="0.25">
      <c r="A43" s="58"/>
      <c r="B43" s="87"/>
      <c r="C43" s="71" t="s">
        <v>186</v>
      </c>
      <c r="D43" s="71"/>
      <c r="E43" s="71">
        <v>1.8</v>
      </c>
      <c r="F43" s="71">
        <v>58.6</v>
      </c>
      <c r="G43" s="70">
        <f t="shared" si="3"/>
        <v>105.48</v>
      </c>
    </row>
    <row r="44" spans="1:7" ht="12.75" customHeight="1" x14ac:dyDescent="0.25">
      <c r="A44" s="58"/>
      <c r="B44" s="87"/>
      <c r="C44" s="71" t="s">
        <v>25</v>
      </c>
      <c r="D44" s="71"/>
      <c r="E44" s="71">
        <f>1+2+1+9+1+2</f>
        <v>16</v>
      </c>
      <c r="F44" s="71">
        <v>12.8</v>
      </c>
      <c r="G44" s="70">
        <f t="shared" si="3"/>
        <v>204.8</v>
      </c>
    </row>
    <row r="45" spans="1:7" ht="12.75" customHeight="1" x14ac:dyDescent="0.25">
      <c r="A45" s="58"/>
      <c r="B45" s="87"/>
      <c r="C45" s="71" t="s">
        <v>26</v>
      </c>
      <c r="D45" s="71"/>
      <c r="E45" s="71">
        <f>3+1</f>
        <v>4</v>
      </c>
      <c r="F45" s="71">
        <v>19.5</v>
      </c>
      <c r="G45" s="70">
        <f t="shared" si="3"/>
        <v>78</v>
      </c>
    </row>
    <row r="46" spans="1:7" ht="12.75" customHeight="1" x14ac:dyDescent="0.25">
      <c r="A46" s="58"/>
      <c r="B46" s="87"/>
      <c r="C46" s="71" t="s">
        <v>27</v>
      </c>
      <c r="D46" s="71"/>
      <c r="E46" s="71">
        <f>2+8+2</f>
        <v>12</v>
      </c>
      <c r="F46" s="71">
        <v>27</v>
      </c>
      <c r="G46" s="70">
        <f t="shared" si="3"/>
        <v>324</v>
      </c>
    </row>
    <row r="47" spans="1:7" ht="12.75" customHeight="1" x14ac:dyDescent="0.25">
      <c r="A47" s="58"/>
      <c r="B47" s="87"/>
      <c r="C47" s="71" t="s">
        <v>156</v>
      </c>
      <c r="D47" s="71"/>
      <c r="E47" s="71">
        <f>3+2+1</f>
        <v>6</v>
      </c>
      <c r="F47" s="71">
        <v>69.5</v>
      </c>
      <c r="G47" s="70">
        <f t="shared" si="3"/>
        <v>417</v>
      </c>
    </row>
    <row r="48" spans="1:7" ht="12.75" customHeight="1" x14ac:dyDescent="0.25">
      <c r="A48" s="58"/>
      <c r="B48" s="87"/>
      <c r="C48" s="71" t="s">
        <v>187</v>
      </c>
      <c r="D48" s="71"/>
      <c r="E48" s="71">
        <v>1</v>
      </c>
      <c r="F48" s="71">
        <v>236</v>
      </c>
      <c r="G48" s="70">
        <f t="shared" si="3"/>
        <v>236</v>
      </c>
    </row>
    <row r="49" spans="1:7" ht="12.75" customHeight="1" x14ac:dyDescent="0.25">
      <c r="A49" s="58"/>
      <c r="B49" s="87"/>
      <c r="C49" s="71" t="s">
        <v>188</v>
      </c>
      <c r="D49" s="71"/>
      <c r="E49" s="71">
        <f>1+1+1+1+4+10</f>
        <v>18</v>
      </c>
      <c r="F49" s="71">
        <v>8.5</v>
      </c>
      <c r="G49" s="70">
        <f t="shared" si="3"/>
        <v>153</v>
      </c>
    </row>
    <row r="50" spans="1:7" ht="12.75" customHeight="1" x14ac:dyDescent="0.25">
      <c r="A50" s="58"/>
      <c r="B50" s="87"/>
      <c r="C50" s="71" t="s">
        <v>189</v>
      </c>
      <c r="D50" s="71"/>
      <c r="E50" s="71">
        <f>1+1</f>
        <v>2</v>
      </c>
      <c r="F50" s="71">
        <v>14.1</v>
      </c>
      <c r="G50" s="70">
        <f t="shared" si="3"/>
        <v>28.2</v>
      </c>
    </row>
    <row r="51" spans="1:7" ht="12.75" customHeight="1" x14ac:dyDescent="0.25">
      <c r="A51" s="58"/>
      <c r="B51" s="87"/>
      <c r="C51" s="71" t="s">
        <v>190</v>
      </c>
      <c r="D51" s="71"/>
      <c r="E51" s="71">
        <f>2+8+2</f>
        <v>12</v>
      </c>
      <c r="F51" s="71">
        <v>20</v>
      </c>
      <c r="G51" s="70">
        <f t="shared" si="3"/>
        <v>240</v>
      </c>
    </row>
    <row r="52" spans="1:7" ht="12.75" customHeight="1" x14ac:dyDescent="0.25">
      <c r="A52" s="58"/>
      <c r="B52" s="87"/>
      <c r="C52" s="71" t="s">
        <v>191</v>
      </c>
      <c r="D52" s="71"/>
      <c r="E52" s="71">
        <f>2+1+1+2+2</f>
        <v>8</v>
      </c>
      <c r="F52" s="71">
        <v>27.4</v>
      </c>
      <c r="G52" s="70">
        <f t="shared" si="3"/>
        <v>219.2</v>
      </c>
    </row>
    <row r="53" spans="1:7" ht="12.75" customHeight="1" x14ac:dyDescent="0.25">
      <c r="A53" s="58"/>
      <c r="B53" s="87"/>
      <c r="C53" s="71" t="s">
        <v>192</v>
      </c>
      <c r="D53" s="71"/>
      <c r="E53" s="71">
        <v>7</v>
      </c>
      <c r="F53" s="71">
        <v>0.37</v>
      </c>
      <c r="G53" s="70">
        <f t="shared" si="3"/>
        <v>2.59</v>
      </c>
    </row>
    <row r="54" spans="1:7" ht="12.75" customHeight="1" x14ac:dyDescent="0.25">
      <c r="A54" s="58"/>
      <c r="B54" s="87"/>
      <c r="C54" s="71" t="s">
        <v>193</v>
      </c>
      <c r="D54" s="71"/>
      <c r="E54" s="71">
        <v>1</v>
      </c>
      <c r="F54" s="71">
        <v>1.55</v>
      </c>
      <c r="G54" s="70">
        <f t="shared" si="3"/>
        <v>1.55</v>
      </c>
    </row>
    <row r="55" spans="1:7" ht="12.75" customHeight="1" x14ac:dyDescent="0.25">
      <c r="A55" s="58"/>
      <c r="B55" s="87"/>
      <c r="C55" s="71" t="s">
        <v>194</v>
      </c>
      <c r="D55" s="71">
        <v>40</v>
      </c>
      <c r="E55" s="71">
        <v>2</v>
      </c>
      <c r="F55" s="71">
        <v>1.64</v>
      </c>
      <c r="G55" s="70">
        <f t="shared" si="3"/>
        <v>3.28</v>
      </c>
    </row>
    <row r="56" spans="1:7" ht="12.75" customHeight="1" x14ac:dyDescent="0.25">
      <c r="A56" s="58"/>
      <c r="B56" s="87"/>
      <c r="C56" s="71" t="s">
        <v>195</v>
      </c>
      <c r="D56" s="71"/>
      <c r="E56" s="71">
        <v>1</v>
      </c>
      <c r="F56" s="71">
        <v>2.5099999999999998</v>
      </c>
      <c r="G56" s="70">
        <f t="shared" si="3"/>
        <v>2.5099999999999998</v>
      </c>
    </row>
    <row r="57" spans="1:7" ht="12.75" customHeight="1" x14ac:dyDescent="0.25">
      <c r="A57" s="58"/>
      <c r="B57" s="87"/>
      <c r="C57" s="71" t="s">
        <v>196</v>
      </c>
      <c r="D57" s="71"/>
      <c r="E57" s="71">
        <v>1</v>
      </c>
      <c r="F57" s="71">
        <v>6</v>
      </c>
      <c r="G57" s="70">
        <f t="shared" si="3"/>
        <v>6</v>
      </c>
    </row>
    <row r="58" spans="1:7" ht="12.75" customHeight="1" x14ac:dyDescent="0.25">
      <c r="A58" s="58"/>
      <c r="B58" s="87"/>
      <c r="C58" s="71" t="s">
        <v>112</v>
      </c>
      <c r="D58" s="71"/>
      <c r="E58" s="71">
        <v>3</v>
      </c>
      <c r="F58" s="71">
        <v>45.5</v>
      </c>
      <c r="G58" s="70">
        <f t="shared" si="3"/>
        <v>136.5</v>
      </c>
    </row>
    <row r="59" spans="1:7" ht="12.75" customHeight="1" x14ac:dyDescent="0.25">
      <c r="A59" s="58"/>
      <c r="B59" s="87"/>
      <c r="C59" s="71" t="s">
        <v>95</v>
      </c>
      <c r="D59" s="71"/>
      <c r="E59" s="71">
        <v>1</v>
      </c>
      <c r="F59" s="71">
        <v>27</v>
      </c>
      <c r="G59" s="70">
        <f t="shared" si="3"/>
        <v>27</v>
      </c>
    </row>
    <row r="60" spans="1:7" ht="12.75" customHeight="1" x14ac:dyDescent="0.25">
      <c r="A60" s="58"/>
      <c r="B60" s="87"/>
      <c r="C60" s="71" t="s">
        <v>197</v>
      </c>
      <c r="D60" s="71"/>
      <c r="E60" s="71">
        <v>1</v>
      </c>
      <c r="F60" s="71">
        <v>122</v>
      </c>
      <c r="G60" s="70">
        <f t="shared" si="3"/>
        <v>122</v>
      </c>
    </row>
    <row r="61" spans="1:7" ht="12.75" customHeight="1" x14ac:dyDescent="0.25">
      <c r="A61" s="58"/>
      <c r="B61" s="87"/>
      <c r="C61" s="71" t="s">
        <v>198</v>
      </c>
      <c r="D61" s="71" t="s">
        <v>199</v>
      </c>
      <c r="E61" s="71">
        <f>2*3.14*0.7*0.7*2+2*3.14*0.7*2.75</f>
        <v>18.243400000000001</v>
      </c>
      <c r="F61" s="71">
        <v>39.25</v>
      </c>
      <c r="G61" s="70">
        <f t="shared" si="3"/>
        <v>716.05345</v>
      </c>
    </row>
    <row r="62" spans="1:7" ht="12.75" customHeight="1" x14ac:dyDescent="0.25">
      <c r="A62" s="58"/>
      <c r="B62" s="87"/>
      <c r="C62" s="71" t="s">
        <v>200</v>
      </c>
      <c r="D62" s="71" t="s">
        <v>201</v>
      </c>
      <c r="E62" s="71">
        <f>0.3*3</f>
        <v>0.89999999999999991</v>
      </c>
      <c r="F62" s="71">
        <v>8.6999999999999993</v>
      </c>
      <c r="G62" s="70">
        <f t="shared" si="3"/>
        <v>7.8299999999999983</v>
      </c>
    </row>
    <row r="63" spans="1:7" ht="12.75" customHeight="1" x14ac:dyDescent="0.25">
      <c r="A63" s="58"/>
      <c r="B63" s="87"/>
      <c r="C63" s="71" t="s">
        <v>202</v>
      </c>
      <c r="D63" s="71" t="s">
        <v>203</v>
      </c>
      <c r="E63" s="71">
        <v>24</v>
      </c>
      <c r="F63" s="71">
        <v>32.9</v>
      </c>
      <c r="G63" s="70">
        <f t="shared" si="3"/>
        <v>789.59999999999991</v>
      </c>
    </row>
    <row r="64" spans="1:7" ht="12.75" customHeight="1" x14ac:dyDescent="0.25">
      <c r="A64" s="58"/>
      <c r="B64" s="87"/>
      <c r="C64" s="71" t="s">
        <v>204</v>
      </c>
      <c r="D64" s="71" t="s">
        <v>205</v>
      </c>
      <c r="E64" s="71">
        <f>0.7*2</f>
        <v>1.4</v>
      </c>
      <c r="F64" s="71">
        <v>4.87</v>
      </c>
      <c r="G64" s="70">
        <f t="shared" si="3"/>
        <v>6.8179999999999996</v>
      </c>
    </row>
    <row r="65" spans="1:7" ht="12.75" customHeight="1" x14ac:dyDescent="0.25">
      <c r="A65" s="89"/>
      <c r="B65" s="87"/>
      <c r="C65" s="63" t="s">
        <v>206</v>
      </c>
      <c r="D65" s="71" t="s">
        <v>207</v>
      </c>
      <c r="E65" s="71">
        <f>(2.3*4+2.9*4+5*2)*4</f>
        <v>123.19999999999999</v>
      </c>
      <c r="F65" s="71">
        <v>8.33</v>
      </c>
      <c r="G65" s="70">
        <f t="shared" si="3"/>
        <v>1026.2559999999999</v>
      </c>
    </row>
    <row r="66" spans="1:7" ht="12.75" customHeight="1" x14ac:dyDescent="0.25">
      <c r="A66" s="58"/>
      <c r="B66" s="87"/>
      <c r="C66" s="71" t="s">
        <v>208</v>
      </c>
      <c r="D66" s="71" t="s">
        <v>209</v>
      </c>
      <c r="E66" s="71">
        <f>1.6*2</f>
        <v>3.2</v>
      </c>
      <c r="F66" s="71">
        <v>7.05</v>
      </c>
      <c r="G66" s="70">
        <f t="shared" si="3"/>
        <v>22.560000000000002</v>
      </c>
    </row>
    <row r="67" spans="1:7" ht="12.75" customHeight="1" x14ac:dyDescent="0.25">
      <c r="A67" s="58"/>
      <c r="B67" s="87"/>
      <c r="C67" s="71" t="s">
        <v>210</v>
      </c>
      <c r="D67" s="71" t="s">
        <v>211</v>
      </c>
      <c r="E67" s="71">
        <v>6</v>
      </c>
      <c r="F67" s="71">
        <v>4.92</v>
      </c>
      <c r="G67" s="70">
        <f t="shared" si="3"/>
        <v>29.52</v>
      </c>
    </row>
    <row r="68" spans="1:7" ht="12.75" customHeight="1" x14ac:dyDescent="0.25">
      <c r="A68" s="58"/>
      <c r="B68" s="87"/>
      <c r="C68" s="71" t="s">
        <v>212</v>
      </c>
      <c r="D68" s="71" t="s">
        <v>154</v>
      </c>
      <c r="E68" s="71">
        <v>2</v>
      </c>
      <c r="F68" s="71">
        <v>78</v>
      </c>
      <c r="G68" s="70">
        <f t="shared" si="3"/>
        <v>156</v>
      </c>
    </row>
    <row r="69" spans="1:7" ht="12.75" customHeight="1" x14ac:dyDescent="0.25">
      <c r="A69" s="89"/>
      <c r="B69" s="87"/>
      <c r="C69" s="71" t="s">
        <v>213</v>
      </c>
      <c r="D69" s="71" t="s">
        <v>214</v>
      </c>
      <c r="E69" s="71">
        <v>1</v>
      </c>
      <c r="F69" s="71"/>
      <c r="G69" s="70">
        <f t="shared" si="3"/>
        <v>0</v>
      </c>
    </row>
    <row r="70" spans="1:7" ht="12.75" customHeight="1" x14ac:dyDescent="0.25">
      <c r="A70" s="58"/>
      <c r="B70" s="87"/>
      <c r="C70" s="71" t="s">
        <v>215</v>
      </c>
      <c r="D70" s="71" t="s">
        <v>216</v>
      </c>
      <c r="E70" s="71">
        <v>5</v>
      </c>
      <c r="F70" s="71">
        <v>39.25</v>
      </c>
      <c r="G70" s="70">
        <f t="shared" si="3"/>
        <v>196.25</v>
      </c>
    </row>
    <row r="71" spans="1:7" ht="12.75" customHeight="1" x14ac:dyDescent="0.25">
      <c r="A71" s="58"/>
      <c r="B71" s="87"/>
      <c r="C71" s="71" t="s">
        <v>217</v>
      </c>
      <c r="D71" s="71" t="s">
        <v>218</v>
      </c>
      <c r="E71" s="71">
        <f>2*3.14*0.5*0.5*2+2*3.14*0.5*2</f>
        <v>9.42</v>
      </c>
      <c r="F71" s="71">
        <v>39.25</v>
      </c>
      <c r="G71" s="70">
        <f t="shared" si="3"/>
        <v>369.73500000000001</v>
      </c>
    </row>
    <row r="72" spans="1:7" ht="12.75" customHeight="1" x14ac:dyDescent="0.25">
      <c r="A72" s="89"/>
      <c r="B72" s="87"/>
      <c r="C72" s="71" t="s">
        <v>219</v>
      </c>
      <c r="D72" s="71">
        <v>600</v>
      </c>
      <c r="E72" s="71">
        <v>4</v>
      </c>
      <c r="F72" s="71">
        <v>80</v>
      </c>
      <c r="G72" s="70">
        <f t="shared" si="3"/>
        <v>320</v>
      </c>
    </row>
    <row r="73" spans="1:7" ht="12.75" customHeight="1" x14ac:dyDescent="0.25">
      <c r="A73" s="89"/>
      <c r="B73" s="87"/>
      <c r="C73" s="71" t="s">
        <v>220</v>
      </c>
      <c r="D73" s="71" t="s">
        <v>221</v>
      </c>
      <c r="E73" s="71">
        <f>2*(3.14*0.1*0.1+3.14*0.1*0.35)</f>
        <v>0.28260000000000002</v>
      </c>
      <c r="F73" s="71">
        <v>23.55</v>
      </c>
      <c r="G73" s="70">
        <f t="shared" si="3"/>
        <v>6.6552300000000004</v>
      </c>
    </row>
    <row r="74" spans="1:7" ht="12.75" customHeight="1" x14ac:dyDescent="0.25">
      <c r="A74" s="58"/>
      <c r="B74" s="87"/>
      <c r="C74" s="71" t="s">
        <v>134</v>
      </c>
      <c r="D74" s="71"/>
      <c r="E74" s="71">
        <v>2</v>
      </c>
      <c r="F74" s="71">
        <v>7.2</v>
      </c>
      <c r="G74" s="70">
        <f t="shared" si="3"/>
        <v>14.4</v>
      </c>
    </row>
    <row r="75" spans="1:7" ht="12.75" customHeight="1" x14ac:dyDescent="0.25">
      <c r="A75" s="58"/>
      <c r="B75" s="87"/>
      <c r="C75" s="71" t="s">
        <v>222</v>
      </c>
      <c r="D75" s="71" t="s">
        <v>223</v>
      </c>
      <c r="E75" s="71">
        <f>0.7*0.7*5</f>
        <v>2.4499999999999997</v>
      </c>
      <c r="F75" s="71">
        <v>23.55</v>
      </c>
      <c r="G75" s="70">
        <f t="shared" si="3"/>
        <v>57.697499999999998</v>
      </c>
    </row>
    <row r="76" spans="1:7" ht="12.75" customHeight="1" x14ac:dyDescent="0.25">
      <c r="A76" s="58"/>
      <c r="B76" s="87"/>
      <c r="C76" s="71" t="s">
        <v>224</v>
      </c>
      <c r="D76" s="71"/>
      <c r="E76" s="71">
        <v>1</v>
      </c>
      <c r="F76" s="71">
        <v>2</v>
      </c>
      <c r="G76" s="70">
        <f t="shared" si="3"/>
        <v>2</v>
      </c>
    </row>
    <row r="77" spans="1:7" ht="12.75" customHeight="1" x14ac:dyDescent="0.25">
      <c r="A77" s="89"/>
      <c r="B77" s="87"/>
      <c r="C77" s="71" t="s">
        <v>225</v>
      </c>
      <c r="D77" s="71" t="s">
        <v>226</v>
      </c>
      <c r="E77" s="71">
        <f>5+6+6+4+3</f>
        <v>24</v>
      </c>
      <c r="F77" s="71">
        <v>1.5</v>
      </c>
      <c r="G77" s="70">
        <f t="shared" si="3"/>
        <v>36</v>
      </c>
    </row>
    <row r="78" spans="1:7" ht="12.75" customHeight="1" x14ac:dyDescent="0.25">
      <c r="A78" s="89"/>
      <c r="B78" s="87"/>
      <c r="C78" s="63" t="s">
        <v>227</v>
      </c>
      <c r="D78" s="71" t="s">
        <v>228</v>
      </c>
      <c r="E78" s="71">
        <f>0.1*1*6</f>
        <v>0.60000000000000009</v>
      </c>
      <c r="F78" s="71">
        <v>23.55</v>
      </c>
      <c r="G78" s="70">
        <f t="shared" si="3"/>
        <v>14.130000000000003</v>
      </c>
    </row>
    <row r="79" spans="1:7" ht="30.75" customHeight="1" x14ac:dyDescent="0.25">
      <c r="A79" s="89"/>
      <c r="B79" s="87"/>
      <c r="C79" s="63" t="s">
        <v>229</v>
      </c>
      <c r="D79" s="71"/>
      <c r="E79" s="71">
        <v>2</v>
      </c>
      <c r="F79" s="71">
        <v>36</v>
      </c>
      <c r="G79" s="70">
        <f t="shared" si="3"/>
        <v>72</v>
      </c>
    </row>
    <row r="80" spans="1:7" ht="12.75" customHeight="1" x14ac:dyDescent="0.25">
      <c r="A80" s="89"/>
      <c r="B80" s="87"/>
      <c r="C80" s="71" t="s">
        <v>230</v>
      </c>
      <c r="D80" s="71" t="s">
        <v>131</v>
      </c>
      <c r="E80" s="71">
        <f>0.5*0.4</f>
        <v>0.2</v>
      </c>
      <c r="F80" s="71">
        <v>39.25</v>
      </c>
      <c r="G80" s="70">
        <f t="shared" si="3"/>
        <v>7.8500000000000005</v>
      </c>
    </row>
    <row r="81" spans="1:7" ht="12.75" customHeight="1" x14ac:dyDescent="0.25">
      <c r="A81" s="89"/>
      <c r="B81" s="89"/>
      <c r="C81" s="71" t="s">
        <v>231</v>
      </c>
      <c r="D81" s="71" t="s">
        <v>232</v>
      </c>
      <c r="E81" s="71">
        <f>0.4*4*1.65*5</f>
        <v>13.200000000000001</v>
      </c>
      <c r="F81" s="71">
        <v>23.55</v>
      </c>
      <c r="G81" s="70">
        <f t="shared" si="3"/>
        <v>310.86</v>
      </c>
    </row>
    <row r="82" spans="1:7" ht="12.75" customHeight="1" x14ac:dyDescent="0.25">
      <c r="A82" s="89"/>
      <c r="B82" s="89"/>
      <c r="C82" s="71" t="s">
        <v>233</v>
      </c>
      <c r="D82" s="71" t="s">
        <v>234</v>
      </c>
      <c r="E82" s="71">
        <v>1</v>
      </c>
      <c r="F82" s="71">
        <v>266</v>
      </c>
      <c r="G82" s="70">
        <f t="shared" si="3"/>
        <v>266</v>
      </c>
    </row>
    <row r="83" spans="1:7" ht="12.75" customHeight="1" x14ac:dyDescent="0.25">
      <c r="A83" s="58"/>
      <c r="B83" s="58"/>
      <c r="C83" s="71" t="s">
        <v>235</v>
      </c>
      <c r="D83" s="71" t="s">
        <v>236</v>
      </c>
      <c r="E83" s="71">
        <f>0.4*0.25*8</f>
        <v>0.8</v>
      </c>
      <c r="F83" s="71">
        <v>39.25</v>
      </c>
      <c r="G83" s="70">
        <f t="shared" si="3"/>
        <v>31.400000000000002</v>
      </c>
    </row>
    <row r="84" spans="1:7" ht="12.75" customHeight="1" x14ac:dyDescent="0.25">
      <c r="A84" s="58"/>
      <c r="B84" s="58"/>
      <c r="C84" s="71" t="s">
        <v>237</v>
      </c>
      <c r="D84" s="71" t="s">
        <v>238</v>
      </c>
      <c r="E84" s="71">
        <v>1</v>
      </c>
      <c r="F84" s="71">
        <v>14.4</v>
      </c>
      <c r="G84" s="70">
        <f t="shared" si="3"/>
        <v>14.4</v>
      </c>
    </row>
    <row r="85" spans="1:7" ht="12.75" customHeight="1" x14ac:dyDescent="0.25">
      <c r="A85" s="58"/>
      <c r="B85" s="58"/>
      <c r="C85" s="88" t="s">
        <v>239</v>
      </c>
      <c r="D85" s="71"/>
      <c r="E85" s="71"/>
      <c r="F85" s="71"/>
      <c r="G85" s="70"/>
    </row>
    <row r="86" spans="1:7" ht="12.75" customHeight="1" x14ac:dyDescent="0.25">
      <c r="A86" s="58"/>
      <c r="B86" s="58"/>
      <c r="C86" s="71" t="s">
        <v>240</v>
      </c>
      <c r="D86" s="71" t="s">
        <v>241</v>
      </c>
      <c r="E86" s="71">
        <f>2.2*2.95*2-1.65*1.1+2.4*2.95-2.4*1.1</f>
        <v>15.605000000000004</v>
      </c>
      <c r="F86" s="71">
        <v>23.55</v>
      </c>
      <c r="G86" s="70">
        <f t="shared" ref="G86:G91" si="4">E86*F86</f>
        <v>367.49775000000011</v>
      </c>
    </row>
    <row r="87" spans="1:7" ht="12.75" customHeight="1" x14ac:dyDescent="0.25">
      <c r="A87" s="58"/>
      <c r="B87" s="58"/>
      <c r="C87" s="71" t="s">
        <v>242</v>
      </c>
      <c r="D87" s="71" t="s">
        <v>243</v>
      </c>
      <c r="E87" s="71">
        <v>1</v>
      </c>
      <c r="F87" s="71"/>
      <c r="G87" s="70">
        <f t="shared" si="4"/>
        <v>0</v>
      </c>
    </row>
    <row r="88" spans="1:7" ht="12.75" customHeight="1" x14ac:dyDescent="0.25">
      <c r="A88" s="58"/>
      <c r="B88" s="58"/>
      <c r="C88" s="71" t="s">
        <v>242</v>
      </c>
      <c r="D88" s="71" t="s">
        <v>244</v>
      </c>
      <c r="E88" s="71">
        <v>1</v>
      </c>
      <c r="F88" s="71"/>
      <c r="G88" s="70">
        <f t="shared" si="4"/>
        <v>0</v>
      </c>
    </row>
    <row r="89" spans="1:7" ht="12.75" customHeight="1" x14ac:dyDescent="0.25">
      <c r="A89" s="58"/>
      <c r="B89" s="58"/>
      <c r="C89" s="71" t="s">
        <v>245</v>
      </c>
      <c r="D89" s="71" t="s">
        <v>246</v>
      </c>
      <c r="E89" s="71">
        <v>1</v>
      </c>
      <c r="F89" s="71"/>
      <c r="G89" s="70">
        <f t="shared" si="4"/>
        <v>0</v>
      </c>
    </row>
    <row r="90" spans="1:7" ht="12.75" customHeight="1" x14ac:dyDescent="0.25">
      <c r="A90" s="58"/>
      <c r="B90" s="58"/>
      <c r="C90" s="71" t="s">
        <v>247</v>
      </c>
      <c r="D90" s="71" t="s">
        <v>248</v>
      </c>
      <c r="E90" s="71">
        <v>2</v>
      </c>
      <c r="F90" s="71"/>
      <c r="G90" s="70">
        <f t="shared" si="4"/>
        <v>0</v>
      </c>
    </row>
    <row r="91" spans="1:7" ht="12.75" customHeight="1" x14ac:dyDescent="0.25">
      <c r="A91" s="58"/>
      <c r="B91" s="58"/>
      <c r="C91" s="71" t="s">
        <v>247</v>
      </c>
      <c r="D91" s="71" t="s">
        <v>249</v>
      </c>
      <c r="E91" s="71">
        <v>1</v>
      </c>
      <c r="F91" s="71"/>
      <c r="G91" s="70">
        <f t="shared" si="4"/>
        <v>0</v>
      </c>
    </row>
    <row r="92" spans="1:7" ht="15.75" hidden="1" customHeight="1" x14ac:dyDescent="0.25">
      <c r="D92" s="96" t="s">
        <v>115</v>
      </c>
    </row>
    <row r="93" spans="1:7" ht="9.75" hidden="1" customHeight="1" x14ac:dyDescent="0.25"/>
    <row r="94" spans="1:7" ht="6.75" hidden="1" customHeight="1" x14ac:dyDescent="0.25"/>
    <row r="95" spans="1:7" s="97" customFormat="1" ht="12.75" hidden="1" customHeight="1" x14ac:dyDescent="0.25">
      <c r="A95" s="53"/>
      <c r="B95" s="53"/>
      <c r="C95" s="96"/>
      <c r="D95" s="96" t="s">
        <v>116</v>
      </c>
      <c r="E95" s="96"/>
      <c r="F95" s="96"/>
    </row>
    <row r="96" spans="1:7" s="97" customFormat="1" ht="15.75" hidden="1" customHeight="1" x14ac:dyDescent="0.25">
      <c r="A96" s="53"/>
      <c r="B96" s="53"/>
      <c r="C96" s="96"/>
      <c r="D96" s="96" t="s">
        <v>117</v>
      </c>
      <c r="E96" s="96"/>
      <c r="F96" s="96"/>
    </row>
  </sheetData>
  <autoFilter ref="A3:G91" xr:uid="{00000000-0009-0000-0000-000006000000}"/>
  <mergeCells count="1">
    <mergeCell ref="A1:G1"/>
  </mergeCells>
  <printOptions horizontalCentered="1"/>
  <pageMargins left="0.31496062992125984" right="0.31496062992125984" top="0.35433070866141736" bottom="0.35433070866141736" header="0.11811023622047245" footer="0.11811023622047245"/>
  <pageSetup paperSize="9" fitToHeight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4192D-3096-4FA7-9485-01553DD4ACB8}">
  <sheetPr>
    <pageSetUpPr fitToPage="1"/>
  </sheetPr>
  <dimension ref="A1:G136"/>
  <sheetViews>
    <sheetView view="pageBreakPreview" zoomScale="90" zoomScaleNormal="85" zoomScaleSheetLayoutView="90" workbookViewId="0">
      <pane xSplit="4" ySplit="3" topLeftCell="E4" activePane="bottomRight" state="frozen"/>
      <selection activeCell="G9" sqref="G9"/>
      <selection pane="topRight" activeCell="G9" sqref="G9"/>
      <selection pane="bottomLeft" activeCell="G9" sqref="G9"/>
      <selection pane="bottomRight" activeCell="F31" sqref="F31"/>
    </sheetView>
  </sheetViews>
  <sheetFormatPr defaultRowHeight="15.75" x14ac:dyDescent="0.25"/>
  <cols>
    <col min="1" max="2" width="5.28515625" style="53" customWidth="1"/>
    <col min="3" max="3" width="31.28515625" style="96" customWidth="1"/>
    <col min="4" max="4" width="22.42578125" style="96" customWidth="1"/>
    <col min="5" max="6" width="16.140625" style="98" customWidth="1"/>
    <col min="7" max="7" width="14.7109375" style="97" customWidth="1"/>
    <col min="8" max="16384" width="9.140625" style="53"/>
  </cols>
  <sheetData>
    <row r="1" spans="1:7" ht="40.5" customHeight="1" x14ac:dyDescent="0.25">
      <c r="A1" s="52" t="s">
        <v>68</v>
      </c>
      <c r="B1" s="52"/>
      <c r="C1" s="52"/>
      <c r="D1" s="52"/>
      <c r="E1" s="52"/>
      <c r="F1" s="52"/>
      <c r="G1" s="52"/>
    </row>
    <row r="2" spans="1:7" ht="19.5" customHeight="1" x14ac:dyDescent="0.25">
      <c r="A2" s="54"/>
      <c r="B2" s="54"/>
      <c r="C2" s="55"/>
      <c r="D2" s="55"/>
      <c r="E2" s="55"/>
      <c r="F2" s="55"/>
      <c r="G2" s="55"/>
    </row>
    <row r="3" spans="1:7" ht="63" x14ac:dyDescent="0.25">
      <c r="A3" s="56" t="s">
        <v>0</v>
      </c>
      <c r="B3" s="56"/>
      <c r="C3" s="56" t="s">
        <v>1</v>
      </c>
      <c r="D3" s="56" t="s">
        <v>2</v>
      </c>
      <c r="E3" s="56" t="s">
        <v>3</v>
      </c>
      <c r="F3" s="56" t="s">
        <v>4</v>
      </c>
      <c r="G3" s="57" t="s">
        <v>5</v>
      </c>
    </row>
    <row r="4" spans="1:7" x14ac:dyDescent="0.25">
      <c r="B4" s="59"/>
      <c r="C4" s="119" t="s">
        <v>287</v>
      </c>
      <c r="D4" s="120"/>
      <c r="E4" s="100"/>
      <c r="F4" s="121"/>
      <c r="G4" s="62"/>
    </row>
    <row r="5" spans="1:7" x14ac:dyDescent="0.25">
      <c r="A5" s="89">
        <v>61</v>
      </c>
      <c r="B5" s="59"/>
      <c r="C5" s="122" t="s">
        <v>250</v>
      </c>
      <c r="D5" s="123" t="s">
        <v>251</v>
      </c>
      <c r="E5" s="102">
        <v>1</v>
      </c>
      <c r="F5" s="64">
        <f>32*120+50</f>
        <v>3890</v>
      </c>
      <c r="G5" s="70">
        <f t="shared" ref="G5:G25" si="0">E5*F5</f>
        <v>3890</v>
      </c>
    </row>
    <row r="6" spans="1:7" x14ac:dyDescent="0.25">
      <c r="A6" s="89">
        <v>62</v>
      </c>
      <c r="B6" s="59"/>
      <c r="C6" s="122" t="s">
        <v>252</v>
      </c>
      <c r="D6" s="123" t="s">
        <v>251</v>
      </c>
      <c r="E6" s="102">
        <v>1</v>
      </c>
      <c r="F6" s="64">
        <f t="shared" ref="F6:F9" si="1">32*120+50</f>
        <v>3890</v>
      </c>
      <c r="G6" s="70">
        <f t="shared" si="0"/>
        <v>3890</v>
      </c>
    </row>
    <row r="7" spans="1:7" x14ac:dyDescent="0.25">
      <c r="A7" s="89">
        <v>63</v>
      </c>
      <c r="B7" s="59"/>
      <c r="C7" s="122" t="s">
        <v>252</v>
      </c>
      <c r="D7" s="123" t="s">
        <v>251</v>
      </c>
      <c r="E7" s="102">
        <v>1</v>
      </c>
      <c r="F7" s="64">
        <f t="shared" si="1"/>
        <v>3890</v>
      </c>
      <c r="G7" s="70">
        <f t="shared" si="0"/>
        <v>3890</v>
      </c>
    </row>
    <row r="8" spans="1:7" x14ac:dyDescent="0.25">
      <c r="A8" s="89">
        <v>64</v>
      </c>
      <c r="B8" s="59"/>
      <c r="C8" s="122" t="s">
        <v>252</v>
      </c>
      <c r="D8" s="123" t="s">
        <v>251</v>
      </c>
      <c r="E8" s="102">
        <v>1</v>
      </c>
      <c r="F8" s="64">
        <f t="shared" si="1"/>
        <v>3890</v>
      </c>
      <c r="G8" s="70">
        <f t="shared" si="0"/>
        <v>3890</v>
      </c>
    </row>
    <row r="9" spans="1:7" x14ac:dyDescent="0.25">
      <c r="A9" s="89">
        <v>65</v>
      </c>
      <c r="B9" s="59"/>
      <c r="C9" s="122" t="s">
        <v>252</v>
      </c>
      <c r="D9" s="123" t="s">
        <v>251</v>
      </c>
      <c r="E9" s="102">
        <v>1</v>
      </c>
      <c r="F9" s="64">
        <f t="shared" si="1"/>
        <v>3890</v>
      </c>
      <c r="G9" s="70">
        <f t="shared" si="0"/>
        <v>3890</v>
      </c>
    </row>
    <row r="10" spans="1:7" x14ac:dyDescent="0.25">
      <c r="A10" s="89">
        <v>66</v>
      </c>
      <c r="B10" s="59"/>
      <c r="C10" s="122" t="s">
        <v>253</v>
      </c>
      <c r="D10" s="123" t="s">
        <v>254</v>
      </c>
      <c r="E10" s="102">
        <v>1</v>
      </c>
      <c r="F10" s="121">
        <v>8</v>
      </c>
      <c r="G10" s="70">
        <f t="shared" si="0"/>
        <v>8</v>
      </c>
    </row>
    <row r="11" spans="1:7" x14ac:dyDescent="0.25">
      <c r="A11" s="89">
        <v>67</v>
      </c>
      <c r="B11" s="59"/>
      <c r="C11" s="122" t="s">
        <v>253</v>
      </c>
      <c r="D11" s="123" t="s">
        <v>254</v>
      </c>
      <c r="E11" s="102">
        <v>1</v>
      </c>
      <c r="F11" s="121">
        <v>8</v>
      </c>
      <c r="G11" s="70">
        <f t="shared" si="0"/>
        <v>8</v>
      </c>
    </row>
    <row r="12" spans="1:7" x14ac:dyDescent="0.25">
      <c r="A12" s="89">
        <v>68</v>
      </c>
      <c r="B12" s="59"/>
      <c r="C12" s="122" t="s">
        <v>253</v>
      </c>
      <c r="D12" s="123" t="s">
        <v>254</v>
      </c>
      <c r="E12" s="102">
        <v>1</v>
      </c>
      <c r="F12" s="121">
        <v>8</v>
      </c>
      <c r="G12" s="70">
        <f t="shared" si="0"/>
        <v>8</v>
      </c>
    </row>
    <row r="13" spans="1:7" x14ac:dyDescent="0.25">
      <c r="A13" s="89">
        <v>69</v>
      </c>
      <c r="B13" s="59"/>
      <c r="C13" s="122" t="s">
        <v>253</v>
      </c>
      <c r="D13" s="123" t="s">
        <v>254</v>
      </c>
      <c r="E13" s="102">
        <v>1</v>
      </c>
      <c r="F13" s="121">
        <v>8</v>
      </c>
      <c r="G13" s="70">
        <f t="shared" si="0"/>
        <v>8</v>
      </c>
    </row>
    <row r="14" spans="1:7" x14ac:dyDescent="0.25">
      <c r="A14" s="89">
        <v>70</v>
      </c>
      <c r="B14" s="59"/>
      <c r="C14" s="122" t="s">
        <v>253</v>
      </c>
      <c r="D14" s="123" t="s">
        <v>254</v>
      </c>
      <c r="E14" s="102">
        <v>1</v>
      </c>
      <c r="F14" s="121">
        <v>8</v>
      </c>
      <c r="G14" s="70">
        <f t="shared" si="0"/>
        <v>8</v>
      </c>
    </row>
    <row r="15" spans="1:7" x14ac:dyDescent="0.25">
      <c r="A15" s="89">
        <v>71</v>
      </c>
      <c r="B15" s="59"/>
      <c r="C15" s="122" t="s">
        <v>253</v>
      </c>
      <c r="D15" s="123" t="s">
        <v>254</v>
      </c>
      <c r="E15" s="102">
        <v>1</v>
      </c>
      <c r="F15" s="121">
        <v>8</v>
      </c>
      <c r="G15" s="70">
        <f t="shared" si="0"/>
        <v>8</v>
      </c>
    </row>
    <row r="16" spans="1:7" x14ac:dyDescent="0.25">
      <c r="A16" s="89">
        <v>72</v>
      </c>
      <c r="B16" s="124"/>
      <c r="C16" s="122" t="s">
        <v>252</v>
      </c>
      <c r="D16" s="123" t="s">
        <v>251</v>
      </c>
      <c r="E16" s="102">
        <v>1</v>
      </c>
      <c r="F16" s="125">
        <v>3890</v>
      </c>
      <c r="G16" s="70">
        <f t="shared" si="0"/>
        <v>3890</v>
      </c>
    </row>
    <row r="17" spans="1:7" x14ac:dyDescent="0.25">
      <c r="A17" s="89">
        <v>73</v>
      </c>
      <c r="B17" s="124"/>
      <c r="C17" s="122" t="s">
        <v>255</v>
      </c>
      <c r="D17" s="123" t="s">
        <v>256</v>
      </c>
      <c r="E17" s="102">
        <v>1</v>
      </c>
      <c r="F17" s="125">
        <v>0</v>
      </c>
      <c r="G17" s="70">
        <f t="shared" si="0"/>
        <v>0</v>
      </c>
    </row>
    <row r="18" spans="1:7" x14ac:dyDescent="0.25">
      <c r="A18" s="89">
        <v>74</v>
      </c>
      <c r="B18" s="124"/>
      <c r="C18" s="122" t="s">
        <v>257</v>
      </c>
      <c r="D18" s="123" t="s">
        <v>251</v>
      </c>
      <c r="E18" s="102">
        <v>1</v>
      </c>
      <c r="F18" s="125">
        <v>3890</v>
      </c>
      <c r="G18" s="70">
        <f t="shared" si="0"/>
        <v>3890</v>
      </c>
    </row>
    <row r="19" spans="1:7" x14ac:dyDescent="0.25">
      <c r="A19" s="89">
        <v>75</v>
      </c>
      <c r="B19" s="124"/>
      <c r="C19" s="122" t="s">
        <v>258</v>
      </c>
      <c r="D19" s="123" t="s">
        <v>259</v>
      </c>
      <c r="E19" s="102">
        <v>1</v>
      </c>
      <c r="F19" s="56">
        <v>60</v>
      </c>
      <c r="G19" s="70">
        <f t="shared" si="0"/>
        <v>60</v>
      </c>
    </row>
    <row r="20" spans="1:7" x14ac:dyDescent="0.25">
      <c r="A20" s="89">
        <v>76</v>
      </c>
      <c r="B20" s="124"/>
      <c r="C20" s="122" t="s">
        <v>260</v>
      </c>
      <c r="D20" s="123" t="s">
        <v>261</v>
      </c>
      <c r="E20" s="102">
        <v>1</v>
      </c>
      <c r="F20" s="56">
        <f>(33.69+1.77*2)*23.55</f>
        <v>876.76649999999995</v>
      </c>
      <c r="G20" s="70">
        <f t="shared" si="0"/>
        <v>876.76649999999995</v>
      </c>
    </row>
    <row r="21" spans="1:7" x14ac:dyDescent="0.25">
      <c r="A21" s="89">
        <v>77</v>
      </c>
      <c r="B21" s="124"/>
      <c r="C21" s="122" t="s">
        <v>262</v>
      </c>
      <c r="D21" s="123" t="s">
        <v>251</v>
      </c>
      <c r="E21" s="102">
        <v>1</v>
      </c>
      <c r="F21" s="56">
        <v>3890</v>
      </c>
      <c r="G21" s="70">
        <f t="shared" si="0"/>
        <v>3890</v>
      </c>
    </row>
    <row r="22" spans="1:7" x14ac:dyDescent="0.25">
      <c r="A22" s="89">
        <v>78</v>
      </c>
      <c r="B22" s="124"/>
      <c r="C22" s="122" t="s">
        <v>263</v>
      </c>
      <c r="D22" s="123" t="s">
        <v>264</v>
      </c>
      <c r="E22" s="102">
        <v>1</v>
      </c>
      <c r="F22" s="56">
        <v>0</v>
      </c>
      <c r="G22" s="70">
        <f t="shared" si="0"/>
        <v>0</v>
      </c>
    </row>
    <row r="23" spans="1:7" x14ac:dyDescent="0.25">
      <c r="A23" s="89">
        <v>79</v>
      </c>
      <c r="B23" s="124"/>
      <c r="C23" s="122" t="s">
        <v>263</v>
      </c>
      <c r="D23" s="123" t="s">
        <v>265</v>
      </c>
      <c r="E23" s="102">
        <v>1</v>
      </c>
      <c r="F23" s="56">
        <v>0</v>
      </c>
      <c r="G23" s="70">
        <f t="shared" si="0"/>
        <v>0</v>
      </c>
    </row>
    <row r="24" spans="1:7" x14ac:dyDescent="0.25">
      <c r="A24" s="89">
        <v>80</v>
      </c>
      <c r="B24" s="124"/>
      <c r="C24" s="122" t="s">
        <v>266</v>
      </c>
      <c r="D24" s="123" t="s">
        <v>267</v>
      </c>
      <c r="E24" s="102">
        <v>1</v>
      </c>
      <c r="F24" s="56">
        <v>0</v>
      </c>
      <c r="G24" s="70">
        <f t="shared" si="0"/>
        <v>0</v>
      </c>
    </row>
    <row r="25" spans="1:7" x14ac:dyDescent="0.25">
      <c r="A25" s="89">
        <v>81</v>
      </c>
      <c r="B25" s="124"/>
      <c r="C25" s="126" t="s">
        <v>17</v>
      </c>
      <c r="D25" s="123" t="s">
        <v>268</v>
      </c>
      <c r="E25" s="102">
        <v>1</v>
      </c>
      <c r="F25" s="56">
        <v>54080</v>
      </c>
      <c r="G25" s="70">
        <f t="shared" si="0"/>
        <v>54080</v>
      </c>
    </row>
    <row r="26" spans="1:7" s="132" customFormat="1" ht="18.75" x14ac:dyDescent="0.25">
      <c r="A26" s="89"/>
      <c r="B26" s="127"/>
      <c r="C26" s="128" t="s">
        <v>283</v>
      </c>
      <c r="D26" s="129"/>
      <c r="E26" s="130"/>
      <c r="F26" s="130"/>
      <c r="G26" s="131">
        <f>SUM(G5:G25)</f>
        <v>86184.766499999998</v>
      </c>
    </row>
    <row r="27" spans="1:7" x14ac:dyDescent="0.25">
      <c r="A27" s="58"/>
      <c r="B27" s="59"/>
      <c r="C27" s="69" t="s">
        <v>20</v>
      </c>
      <c r="D27" s="61"/>
      <c r="E27" s="100"/>
      <c r="F27" s="121"/>
      <c r="G27" s="70"/>
    </row>
    <row r="28" spans="1:7" x14ac:dyDescent="0.25">
      <c r="A28" s="58"/>
      <c r="B28" s="59"/>
      <c r="C28" s="63" t="s">
        <v>124</v>
      </c>
      <c r="D28" s="61"/>
      <c r="E28" s="102">
        <v>16</v>
      </c>
      <c r="F28" s="121">
        <v>0.98</v>
      </c>
      <c r="G28" s="70">
        <f>E28*F28</f>
        <v>15.68</v>
      </c>
    </row>
    <row r="29" spans="1:7" x14ac:dyDescent="0.25">
      <c r="A29" s="58"/>
      <c r="B29" s="59"/>
      <c r="C29" s="63" t="s">
        <v>125</v>
      </c>
      <c r="D29" s="61"/>
      <c r="E29" s="102">
        <f>17.8+4.8</f>
        <v>22.6</v>
      </c>
      <c r="F29" s="121">
        <v>1.68</v>
      </c>
      <c r="G29" s="70">
        <f t="shared" ref="G29:G57" si="2">E29*F29</f>
        <v>37.968000000000004</v>
      </c>
    </row>
    <row r="30" spans="1:7" x14ac:dyDescent="0.25">
      <c r="A30" s="58"/>
      <c r="B30" s="59"/>
      <c r="C30" s="63" t="s">
        <v>269</v>
      </c>
      <c r="D30" s="61"/>
      <c r="E30" s="102">
        <f>1.5*8</f>
        <v>12</v>
      </c>
      <c r="F30" s="121">
        <v>2.74</v>
      </c>
      <c r="G30" s="70">
        <f t="shared" si="2"/>
        <v>32.880000000000003</v>
      </c>
    </row>
    <row r="31" spans="1:7" x14ac:dyDescent="0.25">
      <c r="A31" s="56"/>
      <c r="B31" s="56"/>
      <c r="C31" s="63" t="s">
        <v>21</v>
      </c>
      <c r="D31" s="63"/>
      <c r="E31" s="56">
        <f>2+17.8+4.8+1.5*8</f>
        <v>36.6</v>
      </c>
      <c r="F31" s="56">
        <v>4.22</v>
      </c>
      <c r="G31" s="70">
        <f t="shared" si="2"/>
        <v>154.452</v>
      </c>
    </row>
    <row r="32" spans="1:7" x14ac:dyDescent="0.25">
      <c r="A32" s="56"/>
      <c r="B32" s="56"/>
      <c r="C32" s="63" t="s">
        <v>22</v>
      </c>
      <c r="D32" s="104"/>
      <c r="E32" s="56">
        <f>2.7+17.8</f>
        <v>20.5</v>
      </c>
      <c r="F32" s="56">
        <v>7.34</v>
      </c>
      <c r="G32" s="70">
        <f t="shared" si="2"/>
        <v>150.47</v>
      </c>
    </row>
    <row r="33" spans="1:7" x14ac:dyDescent="0.25">
      <c r="A33" s="56"/>
      <c r="B33" s="56"/>
      <c r="C33" s="63" t="s">
        <v>23</v>
      </c>
      <c r="D33" s="104"/>
      <c r="E33" s="56">
        <f>1.2+2.9+1+5+1.5+2.3+4.7+0.5+2.1</f>
        <v>21.2</v>
      </c>
      <c r="F33" s="56">
        <v>10.85</v>
      </c>
      <c r="G33" s="70">
        <f t="shared" si="2"/>
        <v>230.01999999999998</v>
      </c>
    </row>
    <row r="34" spans="1:7" x14ac:dyDescent="0.25">
      <c r="A34" s="56"/>
      <c r="B34" s="56"/>
      <c r="C34" s="63" t="s">
        <v>24</v>
      </c>
      <c r="D34" s="73"/>
      <c r="E34" s="105">
        <f>1.5+1</f>
        <v>2.5</v>
      </c>
      <c r="F34" s="105">
        <v>15.88</v>
      </c>
      <c r="G34" s="70">
        <f t="shared" si="2"/>
        <v>39.700000000000003</v>
      </c>
    </row>
    <row r="35" spans="1:7" x14ac:dyDescent="0.25">
      <c r="A35" s="56"/>
      <c r="B35" s="56"/>
      <c r="C35" s="72" t="s">
        <v>25</v>
      </c>
      <c r="D35" s="75"/>
      <c r="E35" s="102">
        <v>1</v>
      </c>
      <c r="F35" s="102">
        <v>12.8</v>
      </c>
      <c r="G35" s="70">
        <f t="shared" si="2"/>
        <v>12.8</v>
      </c>
    </row>
    <row r="36" spans="1:7" x14ac:dyDescent="0.25">
      <c r="A36" s="56"/>
      <c r="B36" s="56"/>
      <c r="C36" s="76" t="s">
        <v>27</v>
      </c>
      <c r="D36" s="63"/>
      <c r="E36" s="56">
        <v>7</v>
      </c>
      <c r="F36" s="56">
        <v>27</v>
      </c>
      <c r="G36" s="70">
        <f t="shared" si="2"/>
        <v>189</v>
      </c>
    </row>
    <row r="37" spans="1:7" x14ac:dyDescent="0.25">
      <c r="A37" s="56"/>
      <c r="B37" s="56"/>
      <c r="C37" s="76" t="s">
        <v>28</v>
      </c>
      <c r="D37" s="63"/>
      <c r="E37" s="56">
        <v>3</v>
      </c>
      <c r="F37" s="56">
        <v>58</v>
      </c>
      <c r="G37" s="70">
        <f t="shared" si="2"/>
        <v>174</v>
      </c>
    </row>
    <row r="38" spans="1:7" s="108" customFormat="1" ht="21" x14ac:dyDescent="0.25">
      <c r="A38" s="83"/>
      <c r="B38" s="107"/>
      <c r="C38" s="63" t="s">
        <v>49</v>
      </c>
      <c r="D38" s="63"/>
      <c r="E38" s="56">
        <v>2</v>
      </c>
      <c r="F38" s="56">
        <v>12.9</v>
      </c>
      <c r="G38" s="70">
        <f t="shared" si="2"/>
        <v>25.8</v>
      </c>
    </row>
    <row r="39" spans="1:7" x14ac:dyDescent="0.25">
      <c r="A39" s="58"/>
      <c r="B39" s="87"/>
      <c r="C39" s="63" t="s">
        <v>126</v>
      </c>
      <c r="D39" s="63"/>
      <c r="E39" s="56">
        <v>1</v>
      </c>
      <c r="F39" s="56">
        <v>26</v>
      </c>
      <c r="G39" s="70">
        <f t="shared" si="2"/>
        <v>26</v>
      </c>
    </row>
    <row r="40" spans="1:7" x14ac:dyDescent="0.25">
      <c r="A40" s="58"/>
      <c r="B40" s="87"/>
      <c r="C40" s="63" t="s">
        <v>31</v>
      </c>
      <c r="D40" s="63" t="s">
        <v>32</v>
      </c>
      <c r="E40" s="56">
        <v>1</v>
      </c>
      <c r="F40" s="56">
        <v>17</v>
      </c>
      <c r="G40" s="70">
        <f t="shared" si="2"/>
        <v>17</v>
      </c>
    </row>
    <row r="41" spans="1:7" x14ac:dyDescent="0.25">
      <c r="A41" s="58"/>
      <c r="B41" s="87"/>
      <c r="C41" s="63" t="s">
        <v>35</v>
      </c>
      <c r="D41" s="63" t="s">
        <v>36</v>
      </c>
      <c r="E41" s="56">
        <v>1</v>
      </c>
      <c r="F41" s="56">
        <v>50</v>
      </c>
      <c r="G41" s="70">
        <f t="shared" si="2"/>
        <v>50</v>
      </c>
    </row>
    <row r="42" spans="1:7" x14ac:dyDescent="0.25">
      <c r="A42" s="58"/>
      <c r="B42" s="87"/>
      <c r="C42" s="78" t="s">
        <v>45</v>
      </c>
      <c r="D42" s="63"/>
      <c r="E42" s="56"/>
      <c r="F42" s="56"/>
      <c r="G42" s="70"/>
    </row>
    <row r="43" spans="1:7" x14ac:dyDescent="0.25">
      <c r="A43" s="58"/>
      <c r="B43" s="87"/>
      <c r="C43" s="63" t="s">
        <v>21</v>
      </c>
      <c r="D43" s="63"/>
      <c r="E43" s="56">
        <f>20+17.8+4.8+10</f>
        <v>52.599999999999994</v>
      </c>
      <c r="F43" s="56">
        <v>4.62</v>
      </c>
      <c r="G43" s="70">
        <f t="shared" si="2"/>
        <v>243.01199999999997</v>
      </c>
    </row>
    <row r="44" spans="1:7" x14ac:dyDescent="0.25">
      <c r="A44" s="58"/>
      <c r="B44" s="87"/>
      <c r="C44" s="63" t="s">
        <v>22</v>
      </c>
      <c r="D44" s="63"/>
      <c r="E44" s="56">
        <v>4</v>
      </c>
      <c r="F44" s="56">
        <v>9.3800000000000008</v>
      </c>
      <c r="G44" s="70">
        <f t="shared" si="2"/>
        <v>37.520000000000003</v>
      </c>
    </row>
    <row r="45" spans="1:7" x14ac:dyDescent="0.25">
      <c r="A45" s="58"/>
      <c r="B45" s="87"/>
      <c r="C45" s="63" t="s">
        <v>23</v>
      </c>
      <c r="D45" s="63"/>
      <c r="E45" s="56">
        <f>4.8+5*4+17.8+4.8+5+1.7*8+2.5*8</f>
        <v>86</v>
      </c>
      <c r="F45" s="56">
        <v>10.26</v>
      </c>
      <c r="G45" s="70">
        <f t="shared" si="2"/>
        <v>882.36</v>
      </c>
    </row>
    <row r="46" spans="1:7" x14ac:dyDescent="0.25">
      <c r="A46" s="58"/>
      <c r="B46" s="87"/>
      <c r="C46" s="63" t="s">
        <v>46</v>
      </c>
      <c r="D46" s="63"/>
      <c r="E46" s="56">
        <f>10+4.8</f>
        <v>14.8</v>
      </c>
      <c r="F46" s="56">
        <v>15.04</v>
      </c>
      <c r="G46" s="70">
        <f t="shared" si="2"/>
        <v>222.59199999999998</v>
      </c>
    </row>
    <row r="47" spans="1:7" x14ac:dyDescent="0.25">
      <c r="A47" s="58"/>
      <c r="B47" s="87"/>
      <c r="C47" s="63" t="s">
        <v>99</v>
      </c>
      <c r="D47" s="63"/>
      <c r="E47" s="56">
        <f>2+17.8+2.4-4.8+17.8+4.8+2.4+2.5+6+3+2</f>
        <v>55.9</v>
      </c>
      <c r="F47" s="56">
        <v>52.28</v>
      </c>
      <c r="G47" s="70">
        <f t="shared" si="2"/>
        <v>2922.4519999999998</v>
      </c>
    </row>
    <row r="48" spans="1:7" x14ac:dyDescent="0.25">
      <c r="A48" s="58"/>
      <c r="B48" s="87"/>
      <c r="C48" s="63" t="s">
        <v>25</v>
      </c>
      <c r="D48" s="63"/>
      <c r="E48" s="56">
        <v>3</v>
      </c>
      <c r="F48" s="56">
        <v>12.8</v>
      </c>
      <c r="G48" s="70">
        <f t="shared" si="2"/>
        <v>38.400000000000006</v>
      </c>
    </row>
    <row r="49" spans="1:7" x14ac:dyDescent="0.25">
      <c r="A49" s="58"/>
      <c r="B49" s="87"/>
      <c r="C49" s="63" t="s">
        <v>270</v>
      </c>
      <c r="D49" s="63"/>
      <c r="E49" s="56">
        <v>2</v>
      </c>
      <c r="F49" s="56">
        <v>58</v>
      </c>
      <c r="G49" s="70">
        <f t="shared" si="2"/>
        <v>116</v>
      </c>
    </row>
    <row r="50" spans="1:7" x14ac:dyDescent="0.25">
      <c r="A50" s="58"/>
      <c r="B50" s="87"/>
      <c r="C50" s="63" t="s">
        <v>187</v>
      </c>
      <c r="D50" s="63"/>
      <c r="E50" s="56">
        <f>3+3+2</f>
        <v>8</v>
      </c>
      <c r="F50" s="56">
        <v>236</v>
      </c>
      <c r="G50" s="70">
        <f t="shared" si="2"/>
        <v>1888</v>
      </c>
    </row>
    <row r="51" spans="1:7" ht="20.25" customHeight="1" x14ac:dyDescent="0.25">
      <c r="A51" s="58"/>
      <c r="B51" s="87"/>
      <c r="C51" s="63" t="s">
        <v>48</v>
      </c>
      <c r="D51" s="63"/>
      <c r="E51" s="56">
        <v>10</v>
      </c>
      <c r="F51" s="56">
        <v>8.5</v>
      </c>
      <c r="G51" s="70">
        <f t="shared" si="2"/>
        <v>85</v>
      </c>
    </row>
    <row r="52" spans="1:7" ht="20.25" customHeight="1" x14ac:dyDescent="0.25">
      <c r="A52" s="58"/>
      <c r="B52" s="87"/>
      <c r="C52" s="63" t="s">
        <v>49</v>
      </c>
      <c r="D52" s="63"/>
      <c r="E52" s="56">
        <f>8+8</f>
        <v>16</v>
      </c>
      <c r="F52" s="56">
        <v>12.9</v>
      </c>
      <c r="G52" s="70">
        <f t="shared" si="2"/>
        <v>206.4</v>
      </c>
    </row>
    <row r="53" spans="1:7" ht="20.25" customHeight="1" x14ac:dyDescent="0.25">
      <c r="A53" s="58"/>
      <c r="B53" s="87"/>
      <c r="C53" s="63" t="s">
        <v>271</v>
      </c>
      <c r="D53" s="63" t="s">
        <v>272</v>
      </c>
      <c r="E53" s="56">
        <v>4.2300000000000004</v>
      </c>
      <c r="F53" s="56">
        <v>315</v>
      </c>
      <c r="G53" s="70">
        <f t="shared" si="2"/>
        <v>1332.45</v>
      </c>
    </row>
    <row r="54" spans="1:7" ht="20.25" customHeight="1" x14ac:dyDescent="0.25">
      <c r="A54" s="58"/>
      <c r="B54" s="87"/>
      <c r="C54" s="63" t="s">
        <v>273</v>
      </c>
      <c r="D54" s="63"/>
      <c r="E54" s="56">
        <f>1.9*3+3.1</f>
        <v>8.7999999999999989</v>
      </c>
      <c r="F54" s="56">
        <v>12</v>
      </c>
      <c r="G54" s="70">
        <f t="shared" si="2"/>
        <v>105.6</v>
      </c>
    </row>
    <row r="55" spans="1:7" ht="20.25" customHeight="1" x14ac:dyDescent="0.25">
      <c r="A55" s="58"/>
      <c r="B55" s="87"/>
      <c r="C55" s="63" t="s">
        <v>274</v>
      </c>
      <c r="D55" s="63"/>
      <c r="E55" s="56">
        <f>4*0.65+6*0.5</f>
        <v>5.6</v>
      </c>
      <c r="F55" s="56">
        <v>16</v>
      </c>
      <c r="G55" s="70">
        <f t="shared" si="2"/>
        <v>89.6</v>
      </c>
    </row>
    <row r="56" spans="1:7" ht="20.25" customHeight="1" x14ac:dyDescent="0.25">
      <c r="A56" s="58"/>
      <c r="B56" s="87"/>
      <c r="C56" s="63" t="s">
        <v>275</v>
      </c>
      <c r="D56" s="63" t="s">
        <v>276</v>
      </c>
      <c r="E56" s="56">
        <f>1.2*1*2+1*1*2+1.2+1</f>
        <v>6.6000000000000005</v>
      </c>
      <c r="F56" s="102">
        <v>23.55</v>
      </c>
      <c r="G56" s="70">
        <f t="shared" si="2"/>
        <v>155.43</v>
      </c>
    </row>
    <row r="57" spans="1:7" ht="20.25" customHeight="1" x14ac:dyDescent="0.25">
      <c r="A57" s="58"/>
      <c r="B57" s="87"/>
      <c r="C57" s="63" t="s">
        <v>275</v>
      </c>
      <c r="D57" s="63" t="s">
        <v>277</v>
      </c>
      <c r="E57" s="56">
        <f>1.35*1+0.5*1*2</f>
        <v>2.35</v>
      </c>
      <c r="F57" s="102">
        <v>23.55</v>
      </c>
      <c r="G57" s="70">
        <f t="shared" si="2"/>
        <v>55.342500000000001</v>
      </c>
    </row>
    <row r="58" spans="1:7" x14ac:dyDescent="0.25">
      <c r="A58" s="89"/>
      <c r="B58" s="87"/>
      <c r="C58" s="63" t="s">
        <v>278</v>
      </c>
      <c r="D58" s="71" t="s">
        <v>279</v>
      </c>
      <c r="E58" s="102">
        <f>(8.5+0.5*2)*2</f>
        <v>19</v>
      </c>
      <c r="F58" s="102">
        <v>23.55</v>
      </c>
      <c r="G58" s="70">
        <f>E58*F58</f>
        <v>447.45</v>
      </c>
    </row>
    <row r="59" spans="1:7" x14ac:dyDescent="0.25">
      <c r="A59" s="89"/>
      <c r="B59" s="87"/>
      <c r="C59" s="63" t="s">
        <v>138</v>
      </c>
      <c r="D59" s="71" t="s">
        <v>280</v>
      </c>
      <c r="E59" s="102">
        <f>0.5*2*4*4</f>
        <v>16</v>
      </c>
      <c r="F59" s="102">
        <v>23.55</v>
      </c>
      <c r="G59" s="70">
        <f t="shared" ref="G59:G61" si="3">E59*F59</f>
        <v>376.8</v>
      </c>
    </row>
    <row r="60" spans="1:7" x14ac:dyDescent="0.25">
      <c r="A60" s="89"/>
      <c r="B60" s="87"/>
      <c r="C60" s="63" t="s">
        <v>227</v>
      </c>
      <c r="D60" s="71"/>
      <c r="E60" s="71">
        <f>3.2*0.7+0.7*0.7</f>
        <v>2.7299999999999995</v>
      </c>
      <c r="F60" s="102">
        <v>23.55</v>
      </c>
      <c r="G60" s="70">
        <f t="shared" si="3"/>
        <v>64.291499999999985</v>
      </c>
    </row>
    <row r="61" spans="1:7" x14ac:dyDescent="0.25">
      <c r="A61" s="89"/>
      <c r="B61" s="87"/>
      <c r="C61" s="63" t="s">
        <v>39</v>
      </c>
      <c r="D61" s="71"/>
      <c r="E61" s="102">
        <f>1.2*2+0.6*4+1.5*3+4.2+0.5*8+2.54*4+1.7+0.8+1.7+1.3+1.7+3*4+3*3+1.7+1.8*2</f>
        <v>61.160000000000004</v>
      </c>
      <c r="F61" s="102">
        <v>5.8</v>
      </c>
      <c r="G61" s="70">
        <f t="shared" si="3"/>
        <v>354.72800000000001</v>
      </c>
    </row>
    <row r="62" spans="1:7" x14ac:dyDescent="0.25">
      <c r="A62" s="58"/>
      <c r="B62" s="87"/>
      <c r="C62" s="71"/>
      <c r="D62" s="71"/>
      <c r="E62" s="102"/>
      <c r="F62" s="102"/>
      <c r="G62" s="70"/>
    </row>
    <row r="63" spans="1:7" x14ac:dyDescent="0.25">
      <c r="A63" s="58"/>
      <c r="B63" s="87"/>
      <c r="C63" s="71"/>
      <c r="D63" s="71"/>
      <c r="E63" s="102"/>
      <c r="F63" s="102"/>
      <c r="G63" s="70"/>
    </row>
    <row r="64" spans="1:7" x14ac:dyDescent="0.25">
      <c r="A64" s="58"/>
      <c r="B64" s="87"/>
      <c r="C64" s="71"/>
      <c r="D64" s="71"/>
      <c r="E64" s="102"/>
      <c r="F64" s="102"/>
      <c r="G64" s="70"/>
    </row>
    <row r="65" spans="1:7" x14ac:dyDescent="0.25">
      <c r="A65" s="58"/>
      <c r="B65" s="87"/>
      <c r="C65" s="71"/>
      <c r="D65" s="71"/>
      <c r="E65" s="102"/>
      <c r="F65" s="102"/>
      <c r="G65" s="70"/>
    </row>
    <row r="66" spans="1:7" x14ac:dyDescent="0.25">
      <c r="A66" s="58"/>
      <c r="B66" s="87"/>
      <c r="C66" s="71"/>
      <c r="D66" s="71"/>
      <c r="E66" s="102"/>
      <c r="F66" s="102"/>
      <c r="G66" s="70"/>
    </row>
    <row r="67" spans="1:7" ht="28.5" customHeight="1" x14ac:dyDescent="0.25">
      <c r="A67" s="58"/>
      <c r="B67" s="87"/>
      <c r="C67" s="63"/>
      <c r="D67" s="63"/>
      <c r="E67" s="56"/>
      <c r="F67" s="56"/>
      <c r="G67" s="63"/>
    </row>
    <row r="68" spans="1:7" x14ac:dyDescent="0.25">
      <c r="A68" s="58"/>
      <c r="B68" s="87"/>
      <c r="C68" s="71"/>
      <c r="D68" s="71"/>
      <c r="E68" s="102"/>
      <c r="F68" s="102"/>
      <c r="G68" s="70"/>
    </row>
    <row r="69" spans="1:7" x14ac:dyDescent="0.25">
      <c r="A69" s="58"/>
      <c r="B69" s="87"/>
      <c r="C69" s="71"/>
      <c r="D69" s="71"/>
      <c r="E69" s="102"/>
      <c r="F69" s="102"/>
      <c r="G69" s="70"/>
    </row>
    <row r="70" spans="1:7" x14ac:dyDescent="0.25">
      <c r="A70" s="58"/>
      <c r="B70" s="87"/>
      <c r="C70" s="71"/>
      <c r="D70" s="71"/>
      <c r="E70" s="102"/>
      <c r="F70" s="102"/>
      <c r="G70" s="70"/>
    </row>
    <row r="71" spans="1:7" x14ac:dyDescent="0.25">
      <c r="A71" s="58"/>
      <c r="B71" s="87"/>
      <c r="C71" s="71"/>
      <c r="D71" s="71"/>
      <c r="E71" s="102"/>
      <c r="F71" s="102"/>
      <c r="G71" s="70"/>
    </row>
    <row r="72" spans="1:7" x14ac:dyDescent="0.25">
      <c r="A72" s="58"/>
      <c r="B72" s="87"/>
      <c r="C72" s="71"/>
      <c r="D72" s="71"/>
      <c r="E72" s="102"/>
      <c r="F72" s="102"/>
      <c r="G72" s="70"/>
    </row>
    <row r="73" spans="1:7" x14ac:dyDescent="0.25">
      <c r="A73" s="58"/>
      <c r="B73" s="87"/>
      <c r="C73" s="71"/>
      <c r="D73" s="71"/>
      <c r="E73" s="102"/>
      <c r="F73" s="102"/>
      <c r="G73" s="70"/>
    </row>
    <row r="74" spans="1:7" x14ac:dyDescent="0.25">
      <c r="A74" s="58"/>
      <c r="B74" s="87"/>
      <c r="C74" s="71"/>
      <c r="D74" s="71"/>
      <c r="E74" s="102"/>
      <c r="F74" s="102"/>
      <c r="G74" s="70"/>
    </row>
    <row r="75" spans="1:7" x14ac:dyDescent="0.25">
      <c r="A75" s="58"/>
      <c r="B75" s="87"/>
      <c r="C75" s="71"/>
      <c r="D75" s="71"/>
      <c r="E75" s="102"/>
      <c r="F75" s="102"/>
      <c r="G75" s="70"/>
    </row>
    <row r="76" spans="1:7" x14ac:dyDescent="0.25">
      <c r="A76" s="58"/>
      <c r="B76" s="87"/>
      <c r="C76" s="71"/>
      <c r="D76" s="71"/>
      <c r="E76" s="102"/>
      <c r="F76" s="102"/>
      <c r="G76" s="70"/>
    </row>
    <row r="77" spans="1:7" ht="16.5" customHeight="1" x14ac:dyDescent="0.25">
      <c r="A77" s="58"/>
      <c r="B77" s="87"/>
      <c r="C77" s="88"/>
      <c r="D77" s="88"/>
      <c r="E77" s="110"/>
      <c r="F77" s="102"/>
      <c r="G77" s="70"/>
    </row>
    <row r="78" spans="1:7" x14ac:dyDescent="0.25">
      <c r="A78" s="58"/>
      <c r="B78" s="87"/>
      <c r="C78" s="71"/>
      <c r="D78" s="71"/>
      <c r="E78" s="102"/>
      <c r="F78" s="102"/>
      <c r="G78" s="70"/>
    </row>
    <row r="79" spans="1:7" x14ac:dyDescent="0.25">
      <c r="A79" s="58"/>
      <c r="B79" s="87"/>
      <c r="C79" s="71"/>
      <c r="D79" s="71"/>
      <c r="E79" s="102"/>
      <c r="F79" s="102"/>
      <c r="G79" s="70"/>
    </row>
    <row r="80" spans="1:7" x14ac:dyDescent="0.25">
      <c r="A80" s="58"/>
      <c r="B80" s="87"/>
      <c r="C80" s="71"/>
      <c r="D80" s="71"/>
      <c r="E80" s="102"/>
      <c r="F80" s="102"/>
      <c r="G80" s="70"/>
    </row>
    <row r="81" spans="1:7" x14ac:dyDescent="0.25">
      <c r="A81" s="58"/>
      <c r="B81" s="87"/>
      <c r="C81" s="71"/>
      <c r="D81" s="71"/>
      <c r="E81" s="102"/>
      <c r="F81" s="102"/>
      <c r="G81" s="70"/>
    </row>
    <row r="82" spans="1:7" x14ac:dyDescent="0.25">
      <c r="A82" s="58"/>
      <c r="B82" s="87"/>
      <c r="C82" s="71"/>
      <c r="D82" s="71"/>
      <c r="E82" s="102"/>
      <c r="F82" s="102"/>
      <c r="G82" s="70"/>
    </row>
    <row r="83" spans="1:7" x14ac:dyDescent="0.25">
      <c r="A83" s="58"/>
      <c r="B83" s="87"/>
      <c r="C83" s="71"/>
      <c r="D83" s="71"/>
      <c r="E83" s="102"/>
      <c r="F83" s="102"/>
      <c r="G83" s="70"/>
    </row>
    <row r="84" spans="1:7" x14ac:dyDescent="0.25">
      <c r="A84" s="58"/>
      <c r="B84" s="87"/>
      <c r="C84" s="71"/>
      <c r="D84" s="71"/>
      <c r="E84" s="102"/>
      <c r="F84" s="102"/>
      <c r="G84" s="70"/>
    </row>
    <row r="85" spans="1:7" s="90" customFormat="1" x14ac:dyDescent="0.25">
      <c r="A85" s="58"/>
      <c r="B85" s="59"/>
      <c r="C85" s="71"/>
      <c r="D85" s="71"/>
      <c r="E85" s="102"/>
      <c r="F85" s="102"/>
      <c r="G85" s="70"/>
    </row>
    <row r="86" spans="1:7" s="90" customFormat="1" x14ac:dyDescent="0.25">
      <c r="A86" s="58"/>
      <c r="B86" s="59"/>
      <c r="C86" s="71"/>
      <c r="D86" s="71"/>
      <c r="E86" s="102"/>
      <c r="F86" s="102"/>
      <c r="G86" s="70"/>
    </row>
    <row r="87" spans="1:7" x14ac:dyDescent="0.25">
      <c r="A87" s="58"/>
      <c r="B87" s="87"/>
      <c r="C87" s="71"/>
      <c r="D87" s="71"/>
      <c r="E87" s="102"/>
      <c r="F87" s="102"/>
      <c r="G87" s="70"/>
    </row>
    <row r="88" spans="1:7" x14ac:dyDescent="0.25">
      <c r="A88" s="58"/>
      <c r="B88" s="87"/>
      <c r="C88" s="63"/>
      <c r="D88" s="63"/>
      <c r="E88" s="56"/>
      <c r="F88" s="56"/>
      <c r="G88" s="70"/>
    </row>
    <row r="89" spans="1:7" x14ac:dyDescent="0.25">
      <c r="A89" s="58"/>
      <c r="B89" s="87"/>
      <c r="C89" s="88"/>
      <c r="D89" s="88"/>
      <c r="E89" s="110"/>
      <c r="F89" s="102"/>
      <c r="G89" s="70"/>
    </row>
    <row r="90" spans="1:7" x14ac:dyDescent="0.25">
      <c r="A90" s="58"/>
      <c r="B90" s="87"/>
      <c r="C90" s="71"/>
      <c r="D90" s="71"/>
      <c r="E90" s="102"/>
      <c r="F90" s="102"/>
      <c r="G90" s="70"/>
    </row>
    <row r="91" spans="1:7" x14ac:dyDescent="0.25">
      <c r="A91" s="58"/>
      <c r="B91" s="87"/>
      <c r="C91" s="71"/>
      <c r="D91" s="71"/>
      <c r="E91" s="102"/>
      <c r="F91" s="102"/>
      <c r="G91" s="70"/>
    </row>
    <row r="92" spans="1:7" x14ac:dyDescent="0.25">
      <c r="A92" s="58"/>
      <c r="B92" s="87"/>
      <c r="C92" s="71"/>
      <c r="D92" s="71"/>
      <c r="E92" s="102"/>
      <c r="F92" s="102"/>
      <c r="G92" s="70"/>
    </row>
    <row r="93" spans="1:7" x14ac:dyDescent="0.25">
      <c r="A93" s="58"/>
      <c r="B93" s="87"/>
      <c r="C93" s="71"/>
      <c r="D93" s="71"/>
      <c r="E93" s="102"/>
      <c r="F93" s="102"/>
      <c r="G93" s="70"/>
    </row>
    <row r="94" spans="1:7" x14ac:dyDescent="0.25">
      <c r="A94" s="58"/>
      <c r="B94" s="87"/>
      <c r="C94" s="71"/>
      <c r="D94" s="71"/>
      <c r="E94" s="102"/>
      <c r="F94" s="102"/>
      <c r="G94" s="70"/>
    </row>
    <row r="95" spans="1:7" x14ac:dyDescent="0.25">
      <c r="A95" s="58"/>
      <c r="B95" s="87"/>
      <c r="C95" s="71"/>
      <c r="D95" s="71"/>
      <c r="E95" s="102"/>
      <c r="F95" s="102"/>
      <c r="G95" s="70"/>
    </row>
    <row r="96" spans="1:7" s="90" customFormat="1" ht="17.25" customHeight="1" x14ac:dyDescent="0.25">
      <c r="A96" s="58"/>
      <c r="B96" s="59"/>
      <c r="C96" s="71"/>
      <c r="D96" s="71"/>
      <c r="E96" s="102"/>
      <c r="F96" s="102"/>
      <c r="G96" s="70"/>
    </row>
    <row r="97" spans="1:7" s="90" customFormat="1" x14ac:dyDescent="0.25">
      <c r="A97" s="58"/>
      <c r="B97" s="59"/>
      <c r="C97" s="71"/>
      <c r="D97" s="71"/>
      <c r="E97" s="102"/>
      <c r="F97" s="102"/>
      <c r="G97" s="70"/>
    </row>
    <row r="98" spans="1:7" x14ac:dyDescent="0.25">
      <c r="A98" s="89"/>
      <c r="B98" s="87"/>
      <c r="C98" s="71"/>
      <c r="D98" s="71"/>
      <c r="E98" s="102"/>
      <c r="F98" s="102"/>
      <c r="G98" s="70"/>
    </row>
    <row r="99" spans="1:7" x14ac:dyDescent="0.25">
      <c r="A99" s="89"/>
      <c r="B99" s="87"/>
      <c r="C99" s="71"/>
      <c r="D99" s="71"/>
      <c r="E99" s="102"/>
      <c r="F99" s="102"/>
      <c r="G99" s="70"/>
    </row>
    <row r="100" spans="1:7" x14ac:dyDescent="0.25">
      <c r="A100" s="89"/>
      <c r="B100" s="87"/>
      <c r="C100" s="71"/>
      <c r="D100" s="71"/>
      <c r="E100" s="102"/>
      <c r="F100" s="102"/>
      <c r="G100" s="70"/>
    </row>
    <row r="101" spans="1:7" s="90" customFormat="1" ht="21" customHeight="1" x14ac:dyDescent="0.25">
      <c r="A101" s="58"/>
      <c r="B101" s="58"/>
      <c r="C101" s="71"/>
      <c r="D101" s="71"/>
      <c r="E101" s="102"/>
      <c r="F101" s="102"/>
      <c r="G101" s="70"/>
    </row>
    <row r="102" spans="1:7" s="90" customFormat="1" x14ac:dyDescent="0.25">
      <c r="A102" s="58"/>
      <c r="B102" s="58"/>
      <c r="C102" s="71"/>
      <c r="D102" s="71"/>
      <c r="E102" s="102"/>
      <c r="F102" s="102"/>
      <c r="G102" s="70"/>
    </row>
    <row r="103" spans="1:7" x14ac:dyDescent="0.25">
      <c r="A103" s="58"/>
      <c r="B103" s="58"/>
      <c r="C103" s="88"/>
      <c r="D103" s="88"/>
      <c r="E103" s="110"/>
      <c r="F103" s="102"/>
      <c r="G103" s="70"/>
    </row>
    <row r="104" spans="1:7" x14ac:dyDescent="0.25">
      <c r="A104" s="58"/>
      <c r="B104" s="58"/>
      <c r="C104" s="71"/>
      <c r="D104" s="71"/>
      <c r="E104" s="102"/>
      <c r="F104" s="102"/>
      <c r="G104" s="70"/>
    </row>
    <row r="105" spans="1:7" x14ac:dyDescent="0.25">
      <c r="A105" s="58"/>
      <c r="B105" s="58"/>
      <c r="C105" s="71"/>
      <c r="D105" s="71"/>
      <c r="E105" s="102"/>
      <c r="F105" s="102"/>
      <c r="G105" s="70"/>
    </row>
    <row r="106" spans="1:7" x14ac:dyDescent="0.25">
      <c r="A106" s="58"/>
      <c r="B106" s="58"/>
      <c r="C106" s="71"/>
      <c r="D106" s="71"/>
      <c r="E106" s="102"/>
      <c r="F106" s="102"/>
      <c r="G106" s="70"/>
    </row>
    <row r="107" spans="1:7" x14ac:dyDescent="0.25">
      <c r="A107" s="58"/>
      <c r="B107" s="58"/>
      <c r="C107" s="71"/>
      <c r="D107" s="71"/>
      <c r="E107" s="102"/>
      <c r="F107" s="102"/>
      <c r="G107" s="70"/>
    </row>
    <row r="108" spans="1:7" s="92" customFormat="1" ht="21" x14ac:dyDescent="0.25">
      <c r="A108" s="83"/>
      <c r="B108" s="83"/>
      <c r="C108" s="82"/>
      <c r="D108" s="82"/>
      <c r="E108" s="109"/>
      <c r="F108" s="133"/>
      <c r="G108" s="84"/>
    </row>
    <row r="109" spans="1:7" ht="26.25" x14ac:dyDescent="0.25">
      <c r="A109" s="58"/>
      <c r="B109" s="58"/>
      <c r="C109" s="71"/>
      <c r="D109" s="71"/>
      <c r="E109" s="102"/>
      <c r="F109" s="134"/>
      <c r="G109" s="86"/>
    </row>
    <row r="110" spans="1:7" ht="23.25" x14ac:dyDescent="0.25">
      <c r="A110" s="58"/>
      <c r="B110" s="58"/>
      <c r="C110" s="71"/>
      <c r="D110" s="93"/>
      <c r="E110" s="102"/>
      <c r="F110" s="102"/>
      <c r="G110" s="94"/>
    </row>
    <row r="111" spans="1:7" x14ac:dyDescent="0.25">
      <c r="A111" s="58"/>
      <c r="B111" s="59"/>
      <c r="C111" s="60"/>
      <c r="D111" s="61"/>
      <c r="E111" s="100"/>
      <c r="F111" s="121"/>
      <c r="G111" s="62"/>
    </row>
    <row r="112" spans="1:7" x14ac:dyDescent="0.25">
      <c r="A112" s="56"/>
      <c r="B112" s="56"/>
      <c r="C112" s="63"/>
      <c r="D112" s="63"/>
      <c r="E112" s="56"/>
      <c r="F112" s="56"/>
      <c r="G112" s="64"/>
    </row>
    <row r="113" spans="1:7" x14ac:dyDescent="0.25">
      <c r="A113" s="56"/>
      <c r="B113" s="56"/>
      <c r="C113" s="63"/>
      <c r="D113" s="63"/>
      <c r="E113" s="56"/>
      <c r="F113" s="56"/>
      <c r="G113" s="64"/>
    </row>
    <row r="114" spans="1:7" x14ac:dyDescent="0.25">
      <c r="A114" s="56"/>
      <c r="B114" s="56"/>
      <c r="C114" s="63"/>
      <c r="D114" s="63"/>
      <c r="E114" s="56"/>
      <c r="F114" s="56"/>
      <c r="G114" s="64"/>
    </row>
    <row r="115" spans="1:7" x14ac:dyDescent="0.25">
      <c r="A115" s="56"/>
      <c r="B115" s="56"/>
      <c r="C115" s="63"/>
      <c r="D115" s="63"/>
      <c r="E115" s="56"/>
      <c r="F115" s="56"/>
      <c r="G115" s="64"/>
    </row>
    <row r="116" spans="1:7" x14ac:dyDescent="0.25">
      <c r="A116" s="56"/>
      <c r="B116" s="56"/>
      <c r="C116" s="63"/>
      <c r="D116" s="95"/>
      <c r="E116" s="111"/>
      <c r="F116" s="111"/>
      <c r="G116" s="64"/>
    </row>
    <row r="117" spans="1:7" x14ac:dyDescent="0.25">
      <c r="A117" s="56"/>
      <c r="B117" s="56"/>
      <c r="C117" s="63"/>
      <c r="D117" s="63"/>
      <c r="E117" s="56"/>
      <c r="F117" s="56"/>
      <c r="G117" s="64"/>
    </row>
    <row r="118" spans="1:7" x14ac:dyDescent="0.25">
      <c r="A118" s="56"/>
      <c r="B118" s="56"/>
      <c r="C118" s="63"/>
      <c r="D118" s="63"/>
      <c r="E118" s="56"/>
      <c r="F118" s="56"/>
      <c r="G118" s="64"/>
    </row>
    <row r="119" spans="1:7" x14ac:dyDescent="0.25">
      <c r="A119" s="56"/>
      <c r="B119" s="56"/>
      <c r="C119" s="63"/>
      <c r="D119" s="63"/>
      <c r="E119" s="56"/>
      <c r="F119" s="56"/>
      <c r="G119" s="64"/>
    </row>
    <row r="120" spans="1:7" x14ac:dyDescent="0.25">
      <c r="A120" s="56"/>
      <c r="B120" s="56"/>
      <c r="C120" s="63"/>
      <c r="D120" s="63"/>
      <c r="E120" s="56"/>
      <c r="F120" s="56"/>
      <c r="G120" s="64"/>
    </row>
    <row r="121" spans="1:7" x14ac:dyDescent="0.25">
      <c r="A121" s="56"/>
      <c r="B121" s="56"/>
      <c r="C121" s="63"/>
      <c r="D121" s="63"/>
      <c r="E121" s="56"/>
      <c r="F121" s="56"/>
      <c r="G121" s="64"/>
    </row>
    <row r="122" spans="1:7" x14ac:dyDescent="0.25">
      <c r="A122" s="56"/>
      <c r="B122" s="56"/>
      <c r="C122" s="63"/>
      <c r="D122" s="63"/>
      <c r="E122" s="56"/>
      <c r="F122" s="56"/>
      <c r="G122" s="64"/>
    </row>
    <row r="123" spans="1:7" x14ac:dyDescent="0.25">
      <c r="A123" s="56"/>
      <c r="B123" s="56"/>
      <c r="C123" s="63"/>
      <c r="D123" s="95"/>
      <c r="E123" s="111"/>
      <c r="F123" s="111"/>
      <c r="G123" s="57"/>
    </row>
    <row r="124" spans="1:7" x14ac:dyDescent="0.25">
      <c r="A124" s="56"/>
      <c r="B124" s="56"/>
      <c r="C124" s="63"/>
      <c r="D124" s="95"/>
      <c r="E124" s="111"/>
      <c r="F124" s="111"/>
      <c r="G124" s="57"/>
    </row>
    <row r="125" spans="1:7" x14ac:dyDescent="0.25">
      <c r="A125" s="56"/>
      <c r="B125" s="56"/>
      <c r="C125" s="63"/>
      <c r="D125" s="63"/>
      <c r="E125" s="56"/>
      <c r="F125" s="56"/>
      <c r="G125" s="57"/>
    </row>
    <row r="126" spans="1:7" x14ac:dyDescent="0.25">
      <c r="A126" s="56"/>
      <c r="B126" s="56"/>
      <c r="C126" s="63"/>
      <c r="D126" s="63"/>
      <c r="E126" s="56"/>
      <c r="F126" s="56"/>
      <c r="G126" s="57"/>
    </row>
    <row r="127" spans="1:7" x14ac:dyDescent="0.25">
      <c r="A127" s="56"/>
      <c r="B127" s="56"/>
      <c r="C127" s="63"/>
      <c r="D127" s="63"/>
      <c r="E127" s="56"/>
      <c r="F127" s="56"/>
      <c r="G127" s="57"/>
    </row>
    <row r="128" spans="1:7" x14ac:dyDescent="0.25">
      <c r="A128" s="56"/>
      <c r="B128" s="56"/>
      <c r="C128" s="63"/>
      <c r="D128" s="63"/>
      <c r="E128" s="56"/>
      <c r="F128" s="56"/>
      <c r="G128" s="57"/>
    </row>
    <row r="129" spans="1:7" x14ac:dyDescent="0.25">
      <c r="A129" s="58"/>
      <c r="B129" s="59"/>
      <c r="C129" s="65"/>
      <c r="D129" s="66"/>
      <c r="E129" s="100"/>
      <c r="F129" s="121"/>
      <c r="G129" s="68"/>
    </row>
    <row r="130" spans="1:7" x14ac:dyDescent="0.25">
      <c r="A130" s="58"/>
      <c r="B130" s="59"/>
      <c r="C130" s="65"/>
      <c r="D130" s="66"/>
      <c r="E130" s="100"/>
      <c r="F130" s="121"/>
      <c r="G130" s="68"/>
    </row>
    <row r="131" spans="1:7" ht="11.25" customHeight="1" x14ac:dyDescent="0.25"/>
    <row r="132" spans="1:7" hidden="1" x14ac:dyDescent="0.25">
      <c r="D132" s="96" t="s">
        <v>115</v>
      </c>
    </row>
    <row r="133" spans="1:7" ht="9.75" hidden="1" customHeight="1" x14ac:dyDescent="0.25"/>
    <row r="134" spans="1:7" ht="6.75" hidden="1" customHeight="1" x14ac:dyDescent="0.25"/>
    <row r="135" spans="1:7" s="97" customFormat="1" ht="12.75" hidden="1" customHeight="1" x14ac:dyDescent="0.25">
      <c r="A135" s="53"/>
      <c r="B135" s="53"/>
      <c r="C135" s="96"/>
      <c r="D135" s="96" t="s">
        <v>116</v>
      </c>
      <c r="E135" s="98"/>
      <c r="F135" s="98"/>
    </row>
    <row r="136" spans="1:7" s="97" customFormat="1" hidden="1" x14ac:dyDescent="0.25">
      <c r="A136" s="53"/>
      <c r="B136" s="53"/>
      <c r="C136" s="96"/>
      <c r="D136" s="96" t="s">
        <v>117</v>
      </c>
      <c r="E136" s="98"/>
      <c r="F136" s="98"/>
    </row>
  </sheetData>
  <autoFilter ref="A3:G130" xr:uid="{00000000-0009-0000-0000-000007000000}"/>
  <mergeCells count="5">
    <mergeCell ref="A1:G1"/>
    <mergeCell ref="C2:G2"/>
    <mergeCell ref="C26:D26"/>
    <mergeCell ref="C129:D129"/>
    <mergeCell ref="C130:D130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8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Снежная</vt:lpstr>
      <vt:lpstr>Новикова-Прибоя</vt:lpstr>
      <vt:lpstr>Львовская</vt:lpstr>
      <vt:lpstr>Ленина</vt:lpstr>
      <vt:lpstr>40 б</vt:lpstr>
      <vt:lpstr>Геройская</vt:lpstr>
      <vt:lpstr>комарова</vt:lpstr>
      <vt:lpstr>'40 б'!Область_печати</vt:lpstr>
      <vt:lpstr>Геройская!Область_печати</vt:lpstr>
      <vt:lpstr>комарова!Область_печати</vt:lpstr>
      <vt:lpstr>Ленина!Область_печати</vt:lpstr>
      <vt:lpstr>Львовская!Область_печати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 Nataliya</dc:creator>
  <cp:lastModifiedBy>Sokolova Nataliya</cp:lastModifiedBy>
  <dcterms:created xsi:type="dcterms:W3CDTF">2015-06-05T18:19:34Z</dcterms:created>
  <dcterms:modified xsi:type="dcterms:W3CDTF">2023-12-26T06:54:07Z</dcterms:modified>
</cp:coreProperties>
</file>